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userName="s273689" algorithmName="SHA-512" hashValue="uOpGHVr/v1CZTSjCcIE29aT0pmbDIqhf3Z71AYiUFN/BDO/Tq4VeMtpv3OCO4axty6JwLonn95Vo0LO827rU/Q==" saltValue="LOPp31kfh8dGtWI5PZiX5Q==" spinCount="100000"/>
  <workbookPr filterPrivacy="1" showInkAnnotation="0" codeName="ThisWorkbook" defaultThemeVersion="124226"/>
  <xr:revisionPtr revIDLastSave="0" documentId="8_{72CC98ED-7219-4702-B7EC-5B5F3892E0F6}"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1" r:id="rId6"/>
    <sheet name="WS B-3-A" sheetId="58" r:id="rId7"/>
    <sheet name="WS B-3-B" sheetId="59" r:id="rId8"/>
    <sheet name="WS C  - Working Capital" sheetId="6" r:id="rId9"/>
    <sheet name="WS D IPP Credits" sheetId="7" r:id="rId10"/>
    <sheet name="WS E Rev Credits" sheetId="8" r:id="rId11"/>
    <sheet name="WS F Misc Exp" sheetId="9" r:id="rId12"/>
    <sheet name="WS G  State Tax Rate" sheetId="10" r:id="rId13"/>
    <sheet name="WS H Other Taxes" sheetId="11" r:id="rId14"/>
    <sheet name="WS H-1-Detail of Tax Amts" sheetId="30" r:id="rId15"/>
    <sheet name="WS I Reserved" sheetId="12" r:id="rId16"/>
    <sheet name="WS J PROJECTED RTEP RR" sheetId="20" r:id="rId17"/>
    <sheet name="WS K TRUE-UP RTEP RR" sheetId="13" state="hidden" r:id="rId18"/>
    <sheet name="WS L Reserved" sheetId="14" r:id="rId19"/>
    <sheet name="WS M - Cost of Capital" sheetId="41" r:id="rId20"/>
    <sheet name="WS N - Sale of Plant Held" sheetId="21" r:id="rId21"/>
    <sheet name="WS O - PBOP" sheetId="48" r:id="rId22"/>
    <sheet name="APCo - WS P Dep. Rates" sheetId="66" r:id="rId23"/>
    <sheet name="IMC - WS P Dep. Rates" sheetId="67" r:id="rId24"/>
    <sheet name="KGP - WS P Dep. Rates" sheetId="68" r:id="rId25"/>
    <sheet name="KPC - WS P Dep. Rates" sheetId="69" r:id="rId26"/>
    <sheet name="OPC - WS P Dep. Rates" sheetId="70" r:id="rId27"/>
    <sheet name="WPC-WS P Dep. Rates" sheetId="71" r:id="rId28"/>
    <sheet name="WSQ NSPL" sheetId="47" r:id="rId29"/>
    <sheet name="WSQ Schedule 12" sheetId="49" r:id="rId30"/>
    <sheet name="WSQ Schedule 1A" sheetId="50" r:id="rId31"/>
  </sheets>
  <definedNames>
    <definedName name="_NPh1" localSheetId="6">#REF!</definedName>
    <definedName name="_NPh1">#REF!</definedName>
    <definedName name="ActExcessAmt" localSheetId="6">#REF!</definedName>
    <definedName name="ActExcessAmt">#REF!</definedName>
    <definedName name="ActGrTaxAmt" localSheetId="6">#REF!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#REF!</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#REF!</definedName>
    <definedName name="NP_h">#REF!</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TCOS!$A$1:$L$374</definedName>
    <definedName name="_xlnm.Print_Area" localSheetId="27">'WPC-WS P Dep. Rates'!#REF!</definedName>
    <definedName name="_xlnm.Print_Area" localSheetId="6">'WS B-3-A'!$A$1:$N$58</definedName>
    <definedName name="_xlnm.Print_Area" localSheetId="12">'WS G  State Tax Rate'!$A$1:$H$41</definedName>
    <definedName name="_xlnm.Print_Area" localSheetId="21">'WS O - PBOP'!$A$1:$K$57</definedName>
    <definedName name="_xlnm.Print_Area" localSheetId="28">'WSQ NSPL'!$A$1:$K$62</definedName>
    <definedName name="_xlnm.Print_Area" localSheetId="29">'WSQ Schedule 12'!$A$1:$K$64</definedName>
    <definedName name="_xlnm.Print_Area">#REF!</definedName>
    <definedName name="_xlnm.Print_Titles" localSheetId="27">'WPC-WS P Dep. Rates'!#REF!</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8" hidden="1">'WS C  - Working Capital'!$A$10:$N$97</definedName>
    <definedName name="Z_3768C7C8_9953_11DA_B318_000FB55D51DC_.wvu.PrintTitles" localSheetId="8" hidden="1">'WS C  - Working Capital'!#REF!</definedName>
    <definedName name="Z_3768C7C8_9953_11DA_B318_000FB55D51DC_.wvu.Rows" localSheetId="8" hidden="1">'WS C  - Working Capital'!#REF!</definedName>
    <definedName name="Z_3BDD6235_B127_4929_8311_BDAF7BB89818_.wvu.PrintArea" localSheetId="8" hidden="1">'WS C  - Working Capital'!$A$10:$N$97</definedName>
    <definedName name="Z_3BDD6235_B127_4929_8311_BDAF7BB89818_.wvu.PrintTitles" localSheetId="8" hidden="1">'WS C  - Working Capital'!#REF!</definedName>
    <definedName name="Z_3BDD6235_B127_4929_8311_BDAF7BB89818_.wvu.Rows" localSheetId="8" hidden="1">'WS C  - Working Capital'!#REF!</definedName>
    <definedName name="Z_B0241363_5C8A_48FC_89A6_56D55586BABE_.wvu.PrintArea" localSheetId="8" hidden="1">'WS C  - Working Capital'!$A$10:$N$97</definedName>
    <definedName name="Z_B0241363_5C8A_48FC_89A6_56D55586BABE_.wvu.PrintTitles" localSheetId="8" hidden="1">'WS C  - Working Capital'!#REF!</definedName>
    <definedName name="Z_B0241363_5C8A_48FC_89A6_56D55586BABE_.wvu.Rows" localSheetId="8" hidden="1">'WS C  - Working Capital'!#REF!</definedName>
    <definedName name="Z_C0EA0F9F_7310_4201_82C9_7B8FC8DB9137_.wvu.PrintArea" localSheetId="8" hidden="1">'WS C  - Working Capital'!$A$10:$N$97</definedName>
    <definedName name="Z_C0EA0F9F_7310_4201_82C9_7B8FC8DB9137_.wvu.PrintTitles" localSheetId="8" hidden="1">'WS C  - Working Capital'!#REF!</definedName>
    <definedName name="Z_C0EA0F9F_7310_4201_82C9_7B8FC8DB9137_.wvu.Rows" localSheetId="8" hidden="1">'WS C  - Working Capital'!#REF!</definedName>
    <definedName name="Z_C5140E12_E05E_4473_9142_42F37320A417_.wvu.Cols" localSheetId="14" hidden="1">'WS H-1-Detail of Tax Amts'!#REF!</definedName>
    <definedName name="Z_C5140E12_E05E_4473_9142_42F37320A417_.wvu.PrintArea" localSheetId="14" hidden="1">'WS H-1-Detail of Tax Amts'!$A$3:$F$115</definedName>
    <definedName name="Z_C5140E12_E05E_4473_9142_42F37320A417_.wvu.PrintArea" localSheetId="16" hidden="1">'WS J PROJECTED RTEP RR'!$A$3:$O$81</definedName>
    <definedName name="Z_C5140E12_E05E_4473_9142_42F37320A417_.wvu.PrintTitles" localSheetId="14" hidden="1">'WS H-1-Detail of Tax Amts'!$3:$7</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 i="50" l="1"/>
  <c r="F40" i="50" s="1"/>
  <c r="F41" i="50" s="1"/>
  <c r="F42" i="50" s="1"/>
  <c r="F43" i="50" s="1"/>
  <c r="F44" i="50" s="1"/>
  <c r="F45" i="50" s="1"/>
  <c r="F46" i="50" s="1"/>
  <c r="F47" i="50" s="1"/>
  <c r="F48" i="50" s="1"/>
  <c r="F49" i="50" s="1"/>
  <c r="F50" i="50" s="1"/>
  <c r="F21" i="50"/>
  <c r="F22" i="50" s="1"/>
  <c r="F23" i="50" s="1"/>
  <c r="F24" i="50" s="1"/>
  <c r="F25" i="50" s="1"/>
  <c r="F26" i="50" s="1"/>
  <c r="F27" i="50" s="1"/>
  <c r="F28" i="50" s="1"/>
  <c r="F29" i="50" s="1"/>
  <c r="F30" i="50" s="1"/>
  <c r="F31" i="50" s="1"/>
  <c r="F32" i="50" s="1"/>
  <c r="F36" i="50" s="1"/>
  <c r="F39" i="49"/>
  <c r="F40" i="49" s="1"/>
  <c r="F41" i="49" s="1"/>
  <c r="F42" i="49" s="1"/>
  <c r="F43" i="49" s="1"/>
  <c r="F44" i="49" s="1"/>
  <c r="F45" i="49" s="1"/>
  <c r="F46" i="49" s="1"/>
  <c r="F47" i="49" s="1"/>
  <c r="F48" i="49" s="1"/>
  <c r="F49" i="49" s="1"/>
  <c r="F50" i="49" s="1"/>
  <c r="F21" i="49"/>
  <c r="F22" i="49" s="1"/>
  <c r="F23" i="49" s="1"/>
  <c r="F24" i="49" s="1"/>
  <c r="F25" i="49" s="1"/>
  <c r="F26" i="49" s="1"/>
  <c r="F27" i="49" s="1"/>
  <c r="F28" i="49" s="1"/>
  <c r="F29" i="49" s="1"/>
  <c r="F30" i="49" s="1"/>
  <c r="F31" i="49" s="1"/>
  <c r="F32" i="49" s="1"/>
  <c r="F36" i="49" s="1"/>
  <c r="F36" i="47"/>
  <c r="F21" i="47"/>
  <c r="F22" i="47" l="1"/>
  <c r="F23" i="47" s="1"/>
  <c r="F24" i="47" s="1"/>
  <c r="F25" i="47" s="1"/>
  <c r="F26" i="47" s="1"/>
  <c r="F27" i="47" s="1"/>
  <c r="F28" i="47" s="1"/>
  <c r="F29" i="47" s="1"/>
  <c r="F30" i="47" s="1"/>
  <c r="F31" i="47" s="1"/>
  <c r="F32" i="47" s="1"/>
  <c r="F39" i="47"/>
  <c r="F40" i="47" s="1"/>
  <c r="F41" i="47" s="1"/>
  <c r="F42" i="47" s="1"/>
  <c r="F43" i="47" s="1"/>
  <c r="F44" i="47" s="1"/>
  <c r="F45" i="47" s="1"/>
  <c r="F46" i="47" s="1"/>
  <c r="F47" i="47" s="1"/>
  <c r="F48" i="47" s="1"/>
  <c r="F49" i="47" s="1"/>
  <c r="F50" i="47" s="1"/>
  <c r="C993" i="20" l="1"/>
  <c r="C994" i="20" l="1"/>
  <c r="C995" i="20" s="1"/>
  <c r="C996" i="20" s="1"/>
  <c r="C997" i="20" s="1"/>
  <c r="C998" i="20" s="1"/>
  <c r="C999" i="20" s="1"/>
  <c r="C1000" i="20" s="1"/>
  <c r="C1001" i="20" s="1"/>
  <c r="C1002" i="20" s="1"/>
  <c r="C1003" i="20" s="1"/>
  <c r="C1004" i="20" s="1"/>
  <c r="C1005" i="20" s="1"/>
  <c r="C1006" i="20" s="1"/>
  <c r="C1007" i="20" s="1"/>
  <c r="C1008" i="20" s="1"/>
  <c r="C1009" i="20" s="1"/>
  <c r="C1010" i="20" s="1"/>
  <c r="C1011" i="20" s="1"/>
  <c r="C1012" i="20" s="1"/>
  <c r="C1013" i="20" s="1"/>
  <c r="C1014" i="20" s="1"/>
  <c r="C1015" i="20" s="1"/>
  <c r="C1016" i="20" s="1"/>
  <c r="C1017" i="20" s="1"/>
  <c r="C1018" i="20" s="1"/>
  <c r="C1019" i="20" s="1"/>
  <c r="C1020" i="20" s="1"/>
  <c r="C1021" i="20" s="1"/>
  <c r="C1022" i="20" s="1"/>
  <c r="C1023" i="20" s="1"/>
  <c r="C1024" i="20" s="1"/>
  <c r="C1025" i="20" s="1"/>
  <c r="C1026" i="20" s="1"/>
  <c r="C1027" i="20" s="1"/>
  <c r="C1028" i="20" s="1"/>
  <c r="C1029" i="20" s="1"/>
  <c r="C1030" i="20" s="1"/>
  <c r="C1031" i="20" s="1"/>
  <c r="C1032" i="20" s="1"/>
  <c r="C1033" i="20" s="1"/>
  <c r="C1034" i="20" s="1"/>
  <c r="C1035" i="20" s="1"/>
  <c r="C1036" i="20" s="1"/>
  <c r="C1037" i="20" s="1"/>
  <c r="C1038" i="20" s="1"/>
  <c r="C1039" i="20" s="1"/>
  <c r="C1040" i="20" s="1"/>
  <c r="C1041" i="20" s="1"/>
  <c r="C1042" i="20" s="1"/>
  <c r="C1043" i="20" s="1"/>
  <c r="C1044" i="20" s="1"/>
  <c r="C1045" i="20" s="1"/>
  <c r="C1046" i="20" s="1"/>
  <c r="C1047" i="20" s="1"/>
  <c r="C1048" i="20" s="1"/>
  <c r="C1049" i="20" s="1"/>
  <c r="C1050" i="20" s="1"/>
  <c r="C1051" i="20" s="1"/>
  <c r="C1052" i="20" s="1"/>
  <c r="F23" i="10" l="1"/>
  <c r="E68" i="41" l="1"/>
  <c r="F11" i="10" l="1"/>
  <c r="F31" i="10"/>
  <c r="F27" i="10"/>
  <c r="F35" i="10"/>
  <c r="F19" i="10"/>
  <c r="F15" i="10"/>
  <c r="A8" i="47" l="1"/>
  <c r="K93" i="6" l="1"/>
  <c r="K92" i="6"/>
  <c r="K91" i="6"/>
  <c r="K90" i="6"/>
  <c r="K88" i="6"/>
  <c r="K87" i="6"/>
  <c r="K86" i="6"/>
  <c r="K85" i="6"/>
  <c r="K84" i="6"/>
  <c r="K82" i="6"/>
  <c r="K81" i="6"/>
  <c r="K80" i="6"/>
  <c r="K79" i="6"/>
  <c r="K77" i="6"/>
  <c r="K76" i="6"/>
  <c r="K75" i="6"/>
  <c r="K74" i="6"/>
  <c r="K73" i="6"/>
  <c r="K72" i="6"/>
  <c r="K61" i="6"/>
  <c r="K60" i="6"/>
  <c r="K59" i="6"/>
  <c r="K58" i="6"/>
  <c r="K56" i="6"/>
  <c r="K55" i="6"/>
  <c r="K54" i="6"/>
  <c r="K53" i="6"/>
  <c r="K52" i="6"/>
  <c r="K50" i="6"/>
  <c r="K49" i="6"/>
  <c r="K48" i="6"/>
  <c r="K47" i="6"/>
  <c r="K45" i="6"/>
  <c r="K44" i="6"/>
  <c r="K43" i="6"/>
  <c r="K42" i="6"/>
  <c r="K41" i="6"/>
  <c r="K40" i="6"/>
  <c r="C1439" i="20" l="1"/>
  <c r="C1440" i="20" s="1"/>
  <c r="C1441" i="20" s="1"/>
  <c r="C1442" i="20" s="1"/>
  <c r="C1443" i="20" s="1"/>
  <c r="C1444" i="20" s="1"/>
  <c r="C1445" i="20" s="1"/>
  <c r="C1446" i="20" s="1"/>
  <c r="C1447" i="20" s="1"/>
  <c r="C1448" i="20" s="1"/>
  <c r="C1449" i="20" s="1"/>
  <c r="C1450" i="20" s="1"/>
  <c r="C1451" i="20" s="1"/>
  <c r="C1452" i="20" s="1"/>
  <c r="C1453" i="20" s="1"/>
  <c r="C1454" i="20" s="1"/>
  <c r="C1455" i="20" s="1"/>
  <c r="C1456" i="20" s="1"/>
  <c r="C1457" i="20" s="1"/>
  <c r="C1458" i="20" s="1"/>
  <c r="C1459" i="20" s="1"/>
  <c r="C1460" i="20" s="1"/>
  <c r="C1461" i="20" s="1"/>
  <c r="C1462" i="20" s="1"/>
  <c r="C1463" i="20" s="1"/>
  <c r="C1464" i="20" s="1"/>
  <c r="C1465" i="20" s="1"/>
  <c r="C1466" i="20" s="1"/>
  <c r="C1467" i="20" s="1"/>
  <c r="C1468" i="20" s="1"/>
  <c r="C1469" i="20" s="1"/>
  <c r="C1470" i="20" s="1"/>
  <c r="C1471" i="20" s="1"/>
  <c r="C1472" i="20" s="1"/>
  <c r="C1473" i="20" s="1"/>
  <c r="C1474" i="20" s="1"/>
  <c r="C1475" i="20" s="1"/>
  <c r="C1476" i="20" s="1"/>
  <c r="C1477" i="20" s="1"/>
  <c r="C1478" i="20" s="1"/>
  <c r="C1479" i="20" s="1"/>
  <c r="C1480" i="20" s="1"/>
  <c r="C1481" i="20" s="1"/>
  <c r="C1482" i="20" s="1"/>
  <c r="C1483" i="20" s="1"/>
  <c r="C1484" i="20" s="1"/>
  <c r="C1485" i="20" s="1"/>
  <c r="C1486" i="20" s="1"/>
  <c r="C1487" i="20" s="1"/>
  <c r="C1488" i="20" s="1"/>
  <c r="C1489" i="20" s="1"/>
  <c r="C1490" i="20" s="1"/>
  <c r="C1491" i="20" s="1"/>
  <c r="C1492" i="20" s="1"/>
  <c r="C1493" i="20" s="1"/>
  <c r="C1494" i="20" s="1"/>
  <c r="C1495" i="20" s="1"/>
  <c r="C1496" i="20" s="1"/>
  <c r="C1497" i="20" s="1"/>
  <c r="C1498" i="20" s="1"/>
  <c r="K1434" i="20"/>
  <c r="I1433" i="20"/>
  <c r="O1420" i="20"/>
  <c r="N1420" i="20"/>
  <c r="C1350" i="20"/>
  <c r="C1351" i="20" s="1"/>
  <c r="C1352" i="20" s="1"/>
  <c r="C1353" i="20" s="1"/>
  <c r="C1354" i="20" s="1"/>
  <c r="C1355" i="20" s="1"/>
  <c r="C1356" i="20" s="1"/>
  <c r="C1357" i="20" s="1"/>
  <c r="C1358" i="20" s="1"/>
  <c r="C1359" i="20" s="1"/>
  <c r="C1360" i="20" s="1"/>
  <c r="C1361" i="20" s="1"/>
  <c r="C1362" i="20" s="1"/>
  <c r="C1363" i="20" s="1"/>
  <c r="C1364" i="20" s="1"/>
  <c r="C1365" i="20" s="1"/>
  <c r="C1366" i="20" s="1"/>
  <c r="C1367" i="20" s="1"/>
  <c r="C1368" i="20" s="1"/>
  <c r="C1369" i="20" s="1"/>
  <c r="C1370" i="20" s="1"/>
  <c r="C1371" i="20" s="1"/>
  <c r="C1372" i="20" s="1"/>
  <c r="C1373" i="20" s="1"/>
  <c r="C1374" i="20" s="1"/>
  <c r="C1375" i="20" s="1"/>
  <c r="C1376" i="20" s="1"/>
  <c r="C1377" i="20" s="1"/>
  <c r="C1378" i="20" s="1"/>
  <c r="C1379" i="20" s="1"/>
  <c r="C1380" i="20" s="1"/>
  <c r="C1381" i="20" s="1"/>
  <c r="C1382" i="20" s="1"/>
  <c r="C1383" i="20" s="1"/>
  <c r="C1384" i="20" s="1"/>
  <c r="C1385" i="20" s="1"/>
  <c r="C1386" i="20" s="1"/>
  <c r="C1387" i="20" s="1"/>
  <c r="C1388" i="20" s="1"/>
  <c r="C1389" i="20" s="1"/>
  <c r="C1390" i="20" s="1"/>
  <c r="C1391" i="20" s="1"/>
  <c r="C1392" i="20" s="1"/>
  <c r="C1393" i="20" s="1"/>
  <c r="C1394" i="20" s="1"/>
  <c r="C1395" i="20" s="1"/>
  <c r="C1396" i="20" s="1"/>
  <c r="C1397" i="20" s="1"/>
  <c r="C1398" i="20" s="1"/>
  <c r="C1399" i="20" s="1"/>
  <c r="C1400" i="20" s="1"/>
  <c r="C1401" i="20" s="1"/>
  <c r="C1402" i="20" s="1"/>
  <c r="C1403" i="20" s="1"/>
  <c r="C1404" i="20" s="1"/>
  <c r="C1405" i="20" s="1"/>
  <c r="C1406" i="20" s="1"/>
  <c r="C1407" i="20" s="1"/>
  <c r="C1408" i="20" s="1"/>
  <c r="C1409" i="20" s="1"/>
  <c r="K1345" i="20"/>
  <c r="I1344" i="20"/>
  <c r="O1331" i="20"/>
  <c r="N1331" i="20"/>
  <c r="C1261" i="20"/>
  <c r="C1262" i="20" s="1"/>
  <c r="C1263" i="20" s="1"/>
  <c r="C1264" i="20" s="1"/>
  <c r="C1265" i="20" s="1"/>
  <c r="C1266" i="20" s="1"/>
  <c r="C1267" i="20" s="1"/>
  <c r="C1268" i="20" s="1"/>
  <c r="C1269" i="20" s="1"/>
  <c r="C1270" i="20" s="1"/>
  <c r="C1271" i="20" s="1"/>
  <c r="C1272" i="20" s="1"/>
  <c r="C1273" i="20" s="1"/>
  <c r="C1274" i="20" s="1"/>
  <c r="C1275" i="20" s="1"/>
  <c r="C1276" i="20" s="1"/>
  <c r="C1277" i="20" s="1"/>
  <c r="C1278" i="20" s="1"/>
  <c r="C1279" i="20" s="1"/>
  <c r="C1280" i="20" s="1"/>
  <c r="C1281" i="20" s="1"/>
  <c r="C1282" i="20" s="1"/>
  <c r="C1283" i="20" s="1"/>
  <c r="C1284" i="20" s="1"/>
  <c r="C1285" i="20" s="1"/>
  <c r="C1286" i="20" s="1"/>
  <c r="C1287" i="20" s="1"/>
  <c r="C1288" i="20" s="1"/>
  <c r="C1289" i="20" s="1"/>
  <c r="C1290" i="20" s="1"/>
  <c r="K1256" i="20"/>
  <c r="I1255" i="20"/>
  <c r="O1242" i="20"/>
  <c r="N1242" i="20"/>
  <c r="C1172" i="20"/>
  <c r="C1173" i="20" s="1"/>
  <c r="C1174" i="20" s="1"/>
  <c r="C1175" i="20" s="1"/>
  <c r="C1176" i="20" s="1"/>
  <c r="C1177" i="20" s="1"/>
  <c r="C1178" i="20" s="1"/>
  <c r="C1179" i="20" s="1"/>
  <c r="C1180" i="20" s="1"/>
  <c r="C1181" i="20" s="1"/>
  <c r="C1182" i="20" s="1"/>
  <c r="C1183" i="20" s="1"/>
  <c r="C1184" i="20" s="1"/>
  <c r="C1185" i="20" s="1"/>
  <c r="C1186" i="20" s="1"/>
  <c r="C1187" i="20" s="1"/>
  <c r="C1188" i="20" s="1"/>
  <c r="C1189" i="20" s="1"/>
  <c r="C1190" i="20" s="1"/>
  <c r="C1191" i="20" s="1"/>
  <c r="C1192" i="20" s="1"/>
  <c r="C1193" i="20" s="1"/>
  <c r="C1194" i="20" s="1"/>
  <c r="C1195" i="20" s="1"/>
  <c r="C1196" i="20" s="1"/>
  <c r="C1197" i="20" s="1"/>
  <c r="C1198" i="20" s="1"/>
  <c r="C1199" i="20" s="1"/>
  <c r="C1200" i="20" s="1"/>
  <c r="C1201" i="20" s="1"/>
  <c r="K1167" i="20"/>
  <c r="I1166" i="20"/>
  <c r="O1153" i="20"/>
  <c r="N1153" i="20"/>
  <c r="C1082" i="20"/>
  <c r="C1083" i="20" s="1"/>
  <c r="C1084" i="20" s="1"/>
  <c r="C1085" i="20" s="1"/>
  <c r="C1086" i="20" s="1"/>
  <c r="C1087" i="20" s="1"/>
  <c r="C1088" i="20" s="1"/>
  <c r="C1089" i="20" s="1"/>
  <c r="C1090" i="20" s="1"/>
  <c r="C1091" i="20" s="1"/>
  <c r="C1092" i="20" s="1"/>
  <c r="C1093" i="20" s="1"/>
  <c r="C1094" i="20" s="1"/>
  <c r="C1095" i="20" s="1"/>
  <c r="C1096" i="20" s="1"/>
  <c r="C1097" i="20" s="1"/>
  <c r="C1098" i="20" s="1"/>
  <c r="C1099" i="20" s="1"/>
  <c r="C1100" i="20" s="1"/>
  <c r="C1101" i="20" s="1"/>
  <c r="C1102" i="20" s="1"/>
  <c r="C1103" i="20" s="1"/>
  <c r="C1104" i="20" s="1"/>
  <c r="C1105" i="20" s="1"/>
  <c r="C1106" i="20" s="1"/>
  <c r="C1107" i="20" s="1"/>
  <c r="C1108" i="20" s="1"/>
  <c r="C1109" i="20" s="1"/>
  <c r="C1110" i="20" s="1"/>
  <c r="C1111" i="20" s="1"/>
  <c r="C1112" i="20" s="1"/>
  <c r="C1113" i="20" s="1"/>
  <c r="C1114" i="20" s="1"/>
  <c r="C1115" i="20" s="1"/>
  <c r="C1116" i="20" s="1"/>
  <c r="C1117" i="20" s="1"/>
  <c r="C1118" i="20" s="1"/>
  <c r="C1119" i="20" s="1"/>
  <c r="C1120" i="20" s="1"/>
  <c r="C1121" i="20" s="1"/>
  <c r="C1122" i="20" s="1"/>
  <c r="C1123" i="20" s="1"/>
  <c r="C1124" i="20" s="1"/>
  <c r="C1125" i="20" s="1"/>
  <c r="C1126" i="20" s="1"/>
  <c r="C1127" i="20" s="1"/>
  <c r="C1128" i="20" s="1"/>
  <c r="C1129" i="20" s="1"/>
  <c r="C1130" i="20" s="1"/>
  <c r="C1131" i="20" s="1"/>
  <c r="C1132" i="20" s="1"/>
  <c r="C1133" i="20" s="1"/>
  <c r="C1134" i="20" s="1"/>
  <c r="C1135" i="20" s="1"/>
  <c r="C1136" i="20" s="1"/>
  <c r="C1137" i="20" s="1"/>
  <c r="C1138" i="20" s="1"/>
  <c r="C1139" i="20" s="1"/>
  <c r="C1140" i="20" s="1"/>
  <c r="C1141" i="20" s="1"/>
  <c r="K1077" i="20"/>
  <c r="I1076" i="20"/>
  <c r="O1063" i="20"/>
  <c r="N1063" i="20"/>
  <c r="K988" i="20"/>
  <c r="I987" i="20"/>
  <c r="O974" i="20"/>
  <c r="N974" i="20"/>
  <c r="D1439" i="20" l="1"/>
  <c r="D1261" i="20"/>
  <c r="D1350" i="20"/>
  <c r="C1291" i="20"/>
  <c r="C1292" i="20" s="1"/>
  <c r="C1293" i="20" s="1"/>
  <c r="C1294" i="20" s="1"/>
  <c r="C1295" i="20" s="1"/>
  <c r="C1296" i="20" s="1"/>
  <c r="C1297" i="20" s="1"/>
  <c r="C1298" i="20" s="1"/>
  <c r="C1299" i="20" s="1"/>
  <c r="C1300" i="20" s="1"/>
  <c r="C1301" i="20" s="1"/>
  <c r="C1302" i="20" s="1"/>
  <c r="C1303" i="20" s="1"/>
  <c r="C1304" i="20" s="1"/>
  <c r="C1305" i="20" s="1"/>
  <c r="C1306" i="20" s="1"/>
  <c r="C1307" i="20" s="1"/>
  <c r="C1308" i="20" s="1"/>
  <c r="C1309" i="20" s="1"/>
  <c r="C1310" i="20" s="1"/>
  <c r="C1311" i="20" s="1"/>
  <c r="C1312" i="20" s="1"/>
  <c r="C1313" i="20" s="1"/>
  <c r="C1314" i="20" s="1"/>
  <c r="C1315" i="20" s="1"/>
  <c r="C1316" i="20" s="1"/>
  <c r="C1317" i="20" s="1"/>
  <c r="C1318" i="20" s="1"/>
  <c r="C1319" i="20" s="1"/>
  <c r="C1320" i="20" s="1"/>
  <c r="C1202" i="20"/>
  <c r="C1203" i="20" s="1"/>
  <c r="C1204" i="20" s="1"/>
  <c r="C1205" i="20" s="1"/>
  <c r="C1206" i="20" s="1"/>
  <c r="C1207" i="20" s="1"/>
  <c r="C1208" i="20" s="1"/>
  <c r="C1209" i="20" s="1"/>
  <c r="C1210" i="20" s="1"/>
  <c r="C1211" i="20" s="1"/>
  <c r="C1212" i="20" s="1"/>
  <c r="C1213" i="20" s="1"/>
  <c r="C1214" i="20" s="1"/>
  <c r="C1215" i="20" s="1"/>
  <c r="C1216" i="20" s="1"/>
  <c r="C1217" i="20" s="1"/>
  <c r="C1218" i="20" s="1"/>
  <c r="C1219" i="20" s="1"/>
  <c r="C1220" i="20" s="1"/>
  <c r="C1221" i="20" s="1"/>
  <c r="C1222" i="20" s="1"/>
  <c r="C1223" i="20" s="1"/>
  <c r="C1224" i="20" s="1"/>
  <c r="C1225" i="20" s="1"/>
  <c r="C1226" i="20" s="1"/>
  <c r="C1227" i="20" s="1"/>
  <c r="C1228" i="20" s="1"/>
  <c r="C1229" i="20" s="1"/>
  <c r="C1230" i="20" s="1"/>
  <c r="C1231" i="20" s="1"/>
  <c r="D1172" i="20"/>
  <c r="D1082" i="20"/>
  <c r="D993" i="20"/>
  <c r="F38" i="58" l="1"/>
  <c r="D38" i="58"/>
  <c r="H36" i="58"/>
  <c r="L33" i="58"/>
  <c r="N33" i="58" s="1"/>
  <c r="H33" i="58"/>
  <c r="J31" i="58"/>
  <c r="J36" i="58" s="1"/>
  <c r="H31" i="58"/>
  <c r="F27" i="58"/>
  <c r="D24" i="58"/>
  <c r="D25" i="58" s="1"/>
  <c r="L21" i="58"/>
  <c r="N21" i="58" s="1"/>
  <c r="H21" i="58"/>
  <c r="L19" i="58"/>
  <c r="N19" i="58" s="1"/>
  <c r="H19" i="58"/>
  <c r="J17" i="58"/>
  <c r="J25" i="58" s="1"/>
  <c r="D17" i="58"/>
  <c r="A16" i="58"/>
  <c r="A17" i="58" s="1"/>
  <c r="A19" i="58" s="1"/>
  <c r="A21" i="58" s="1"/>
  <c r="A23" i="58" s="1"/>
  <c r="A24" i="58" s="1"/>
  <c r="A25" i="58" s="1"/>
  <c r="A27" i="58" s="1"/>
  <c r="A31" i="58" s="1"/>
  <c r="A33" i="58" s="1"/>
  <c r="A36" i="58" s="1"/>
  <c r="A38" i="58" s="1"/>
  <c r="D27" i="58" l="1"/>
  <c r="L25" i="58"/>
  <c r="J27" i="58"/>
  <c r="J38" i="58"/>
  <c r="L36" i="58"/>
  <c r="N36" i="58" s="1"/>
  <c r="N25" i="58"/>
  <c r="H25" i="58"/>
  <c r="H17" i="58"/>
  <c r="L17" i="58"/>
  <c r="L31" i="58"/>
  <c r="L27" i="58" l="1"/>
  <c r="L38" i="58"/>
  <c r="N31" i="58"/>
  <c r="N38" i="58" s="1"/>
  <c r="N17" i="58"/>
  <c r="N27" i="58" s="1"/>
  <c r="G42" i="41" l="1"/>
  <c r="E42" i="41"/>
  <c r="D42" i="41"/>
  <c r="C42" i="41"/>
  <c r="F42" i="35"/>
  <c r="F23" i="35"/>
  <c r="F23" i="41" l="1"/>
  <c r="C23" i="41"/>
  <c r="F42" i="41"/>
  <c r="E23" i="41" l="1"/>
  <c r="D904" i="20" l="1"/>
  <c r="C904" i="20"/>
  <c r="C905" i="20" s="1"/>
  <c r="C906" i="20" s="1"/>
  <c r="C907" i="20" s="1"/>
  <c r="C908" i="20" s="1"/>
  <c r="C909" i="20" s="1"/>
  <c r="C910" i="20" s="1"/>
  <c r="C911" i="20" s="1"/>
  <c r="C912" i="20" s="1"/>
  <c r="C913" i="20" s="1"/>
  <c r="C914" i="20" s="1"/>
  <c r="C915" i="20" s="1"/>
  <c r="C916" i="20" s="1"/>
  <c r="C917" i="20" s="1"/>
  <c r="C918" i="20" s="1"/>
  <c r="C919" i="20" s="1"/>
  <c r="C920" i="20" s="1"/>
  <c r="C921" i="20" s="1"/>
  <c r="C922" i="20" s="1"/>
  <c r="C923" i="20" s="1"/>
  <c r="C924" i="20" s="1"/>
  <c r="C925" i="20" s="1"/>
  <c r="C926" i="20" s="1"/>
  <c r="C927" i="20" s="1"/>
  <c r="C928" i="20" s="1"/>
  <c r="C929" i="20" s="1"/>
  <c r="C930" i="20" s="1"/>
  <c r="C931" i="20" s="1"/>
  <c r="C932" i="20" s="1"/>
  <c r="C933" i="20" s="1"/>
  <c r="K899" i="20"/>
  <c r="I898" i="20"/>
  <c r="O885" i="20"/>
  <c r="N885" i="20"/>
  <c r="C934" i="20" l="1"/>
  <c r="C935" i="20" s="1"/>
  <c r="C936" i="20" s="1"/>
  <c r="C937" i="20" s="1"/>
  <c r="C938" i="20" s="1"/>
  <c r="C939" i="20" s="1"/>
  <c r="C940" i="20" s="1"/>
  <c r="C941" i="20" s="1"/>
  <c r="C942" i="20" s="1"/>
  <c r="C943" i="20" s="1"/>
  <c r="C944" i="20" s="1"/>
  <c r="C945" i="20" s="1"/>
  <c r="C946" i="20" s="1"/>
  <c r="C947" i="20" s="1"/>
  <c r="C948" i="20" s="1"/>
  <c r="C949" i="20" s="1"/>
  <c r="C950" i="20" s="1"/>
  <c r="C951" i="20" s="1"/>
  <c r="C952" i="20" s="1"/>
  <c r="C953" i="20" s="1"/>
  <c r="C954" i="20" s="1"/>
  <c r="C955" i="20" s="1"/>
  <c r="C956" i="20" s="1"/>
  <c r="C957" i="20" s="1"/>
  <c r="C958" i="20" s="1"/>
  <c r="C959" i="20" s="1"/>
  <c r="C960" i="20" s="1"/>
  <c r="C961" i="20" s="1"/>
  <c r="C962" i="20" s="1"/>
  <c r="C963" i="20" s="1"/>
  <c r="B39" i="50" l="1"/>
  <c r="B40" i="50" s="1"/>
  <c r="B41" i="50" s="1"/>
  <c r="B42" i="50" s="1"/>
  <c r="B43" i="50" s="1"/>
  <c r="B44" i="50" s="1"/>
  <c r="B45" i="50" s="1"/>
  <c r="B46" i="50" s="1"/>
  <c r="B47" i="50" s="1"/>
  <c r="B48" i="50" s="1"/>
  <c r="B49" i="50" s="1"/>
  <c r="B50" i="50" s="1"/>
  <c r="B36" i="50"/>
  <c r="B21" i="50"/>
  <c r="B22" i="50" s="1"/>
  <c r="B23" i="50" s="1"/>
  <c r="B24" i="50" s="1"/>
  <c r="B25" i="50" s="1"/>
  <c r="B26" i="50" s="1"/>
  <c r="B27" i="50" s="1"/>
  <c r="B28" i="50" s="1"/>
  <c r="B29" i="50" s="1"/>
  <c r="B30" i="50" s="1"/>
  <c r="B31" i="50" s="1"/>
  <c r="B32" i="50" s="1"/>
  <c r="B39" i="49"/>
  <c r="B40" i="49" s="1"/>
  <c r="B41" i="49" s="1"/>
  <c r="B42" i="49" s="1"/>
  <c r="B43" i="49" s="1"/>
  <c r="B44" i="49" s="1"/>
  <c r="B45" i="49" s="1"/>
  <c r="B46" i="49" s="1"/>
  <c r="B47" i="49" s="1"/>
  <c r="B48" i="49" s="1"/>
  <c r="B49" i="49" s="1"/>
  <c r="B50" i="49" s="1"/>
  <c r="B36" i="49"/>
  <c r="B21" i="49"/>
  <c r="B22" i="49" s="1"/>
  <c r="B23" i="49" s="1"/>
  <c r="B24" i="49" s="1"/>
  <c r="B25" i="49" s="1"/>
  <c r="B26" i="49" s="1"/>
  <c r="B27" i="49" s="1"/>
  <c r="B28" i="49" s="1"/>
  <c r="B29" i="49" s="1"/>
  <c r="B30" i="49" s="1"/>
  <c r="B31" i="49" s="1"/>
  <c r="B32" i="49" s="1"/>
  <c r="B39" i="47"/>
  <c r="B36" i="47"/>
  <c r="B21" i="47"/>
  <c r="B40" i="47" l="1"/>
  <c r="B41" i="47" s="1"/>
  <c r="B42" i="47" s="1"/>
  <c r="B43" i="47" s="1"/>
  <c r="B44" i="47" s="1"/>
  <c r="B45" i="47" s="1"/>
  <c r="B46" i="47" s="1"/>
  <c r="B47" i="47" s="1"/>
  <c r="B48" i="47" s="1"/>
  <c r="B49" i="47" s="1"/>
  <c r="B50" i="47" s="1"/>
  <c r="B22" i="47"/>
  <c r="B23" i="47" s="1"/>
  <c r="B24" i="47" s="1"/>
  <c r="B25" i="47" s="1"/>
  <c r="B26" i="47" s="1"/>
  <c r="B27" i="47" s="1"/>
  <c r="B28" i="47" s="1"/>
  <c r="B29" i="47" s="1"/>
  <c r="B30" i="47" s="1"/>
  <c r="B31" i="47" s="1"/>
  <c r="B32" i="47" s="1"/>
  <c r="D8" i="49" l="1"/>
  <c r="A17" i="50"/>
  <c r="A17" i="49"/>
  <c r="A8" i="50"/>
  <c r="A8" i="49" l="1"/>
  <c r="F86" i="35"/>
  <c r="B72" i="51" l="1"/>
  <c r="O48" i="51"/>
  <c r="N48" i="51"/>
  <c r="L48" i="51"/>
  <c r="K48" i="51"/>
  <c r="J48" i="51"/>
  <c r="I48" i="51"/>
  <c r="B48" i="51"/>
  <c r="M48" i="51"/>
  <c r="P44" i="51"/>
  <c r="P40" i="51"/>
  <c r="Q39" i="51"/>
  <c r="P38" i="51"/>
  <c r="P37" i="51"/>
  <c r="Q36" i="51"/>
  <c r="Q35" i="51"/>
  <c r="P34" i="51"/>
  <c r="O29" i="51"/>
  <c r="N29" i="51"/>
  <c r="L29" i="51"/>
  <c r="K29" i="51"/>
  <c r="J29" i="51"/>
  <c r="I29" i="51"/>
  <c r="B29" i="51"/>
  <c r="M29" i="51"/>
  <c r="P25" i="51"/>
  <c r="P21" i="51"/>
  <c r="Q20" i="51"/>
  <c r="P19" i="51"/>
  <c r="P18" i="51"/>
  <c r="Q17" i="51"/>
  <c r="Q16" i="51"/>
  <c r="P15" i="51"/>
  <c r="Q14" i="51"/>
  <c r="P13" i="51"/>
  <c r="Q48" i="51" l="1"/>
  <c r="R11" i="51"/>
  <c r="Q29" i="51"/>
  <c r="P45" i="51"/>
  <c r="P48" i="51" s="1"/>
  <c r="P26" i="51"/>
  <c r="P29" i="51" s="1"/>
  <c r="G154" i="2" l="1"/>
  <c r="H41" i="41"/>
  <c r="H40" i="41"/>
  <c r="H39" i="41"/>
  <c r="H38" i="41"/>
  <c r="H37" i="41"/>
  <c r="H36" i="41"/>
  <c r="H35" i="41"/>
  <c r="H34" i="41"/>
  <c r="H33" i="41"/>
  <c r="H32" i="41"/>
  <c r="H30" i="41"/>
  <c r="H29" i="41"/>
  <c r="E28" i="48"/>
  <c r="E88" i="35"/>
  <c r="J13" i="8"/>
  <c r="L18" i="2"/>
  <c r="G14" i="41"/>
  <c r="G17" i="41"/>
  <c r="L172" i="2"/>
  <c r="L173" i="2"/>
  <c r="G160" i="2"/>
  <c r="G44" i="48"/>
  <c r="D94" i="41"/>
  <c r="D95" i="41" s="1"/>
  <c r="C94" i="41"/>
  <c r="C95" i="41" s="1"/>
  <c r="D88" i="41"/>
  <c r="D89" i="41" s="1"/>
  <c r="C88" i="41"/>
  <c r="C89" i="41" s="1"/>
  <c r="N351" i="20"/>
  <c r="F62" i="35"/>
  <c r="E62" i="35"/>
  <c r="L227" i="2" s="1"/>
  <c r="G81" i="2"/>
  <c r="G69" i="2"/>
  <c r="D815" i="20"/>
  <c r="C815" i="20"/>
  <c r="C816" i="20" s="1"/>
  <c r="C817" i="20" s="1"/>
  <c r="C818" i="20" s="1"/>
  <c r="C819" i="20" s="1"/>
  <c r="C820" i="20" s="1"/>
  <c r="C821" i="20" s="1"/>
  <c r="C822" i="20" s="1"/>
  <c r="C823" i="20" s="1"/>
  <c r="C824" i="20" s="1"/>
  <c r="C825" i="20" s="1"/>
  <c r="C826" i="20" s="1"/>
  <c r="C827" i="20" s="1"/>
  <c r="C828" i="20" s="1"/>
  <c r="C829" i="20" s="1"/>
  <c r="C830" i="20" s="1"/>
  <c r="C831" i="20" s="1"/>
  <c r="C832" i="20" s="1"/>
  <c r="C833" i="20" s="1"/>
  <c r="C834" i="20" s="1"/>
  <c r="C835" i="20" s="1"/>
  <c r="C836" i="20" s="1"/>
  <c r="C837" i="20" s="1"/>
  <c r="C838" i="20" s="1"/>
  <c r="C839" i="20" s="1"/>
  <c r="C840" i="20" s="1"/>
  <c r="C841" i="20" s="1"/>
  <c r="C842" i="20" s="1"/>
  <c r="C843" i="20" s="1"/>
  <c r="C844" i="20" s="1"/>
  <c r="C845" i="20" s="1"/>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K810" i="20"/>
  <c r="I809" i="20"/>
  <c r="O796" i="20"/>
  <c r="N796" i="20"/>
  <c r="D726" i="20"/>
  <c r="C726" i="20"/>
  <c r="C727" i="20" s="1"/>
  <c r="C728" i="20" s="1"/>
  <c r="C729" i="20" s="1"/>
  <c r="C730" i="20" s="1"/>
  <c r="C731" i="20" s="1"/>
  <c r="C732" i="20" s="1"/>
  <c r="C733" i="20" s="1"/>
  <c r="C734" i="20" s="1"/>
  <c r="C735" i="20" s="1"/>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K721" i="20"/>
  <c r="I720" i="20"/>
  <c r="O707" i="20"/>
  <c r="N707" i="20"/>
  <c r="D637" i="20"/>
  <c r="C637" i="20"/>
  <c r="C638" i="20" s="1"/>
  <c r="C639" i="20" s="1"/>
  <c r="C640" i="20" s="1"/>
  <c r="C641" i="20" s="1"/>
  <c r="C642" i="20" s="1"/>
  <c r="C643" i="20" s="1"/>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C667" i="20" s="1"/>
  <c r="C668" i="20" s="1"/>
  <c r="C669" i="20" s="1"/>
  <c r="C670" i="20" s="1"/>
  <c r="C671" i="20" s="1"/>
  <c r="C672" i="20" s="1"/>
  <c r="C673" i="20" s="1"/>
  <c r="C674" i="20" s="1"/>
  <c r="C675" i="20" s="1"/>
  <c r="C676" i="20" s="1"/>
  <c r="C677" i="20" s="1"/>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K632" i="20"/>
  <c r="I631" i="20"/>
  <c r="O618" i="20"/>
  <c r="N618" i="20"/>
  <c r="D548" i="20"/>
  <c r="C548" i="20"/>
  <c r="C549" i="20" s="1"/>
  <c r="C550" i="20" s="1"/>
  <c r="C551" i="20" s="1"/>
  <c r="C552" i="20" s="1"/>
  <c r="C553" i="20" s="1"/>
  <c r="C554" i="20" s="1"/>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K543" i="20"/>
  <c r="I542" i="20"/>
  <c r="O529" i="20"/>
  <c r="N529" i="20"/>
  <c r="D459" i="20"/>
  <c r="C459" i="20"/>
  <c r="C460" i="20" s="1"/>
  <c r="C461" i="20" s="1"/>
  <c r="C462" i="20" s="1"/>
  <c r="C463" i="20" s="1"/>
  <c r="C464" i="20" s="1"/>
  <c r="C465" i="20" s="1"/>
  <c r="C466" i="20" s="1"/>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K454" i="20"/>
  <c r="I453" i="20"/>
  <c r="O440" i="20"/>
  <c r="N440" i="20"/>
  <c r="D370" i="20"/>
  <c r="C370" i="20"/>
  <c r="C371" i="20" s="1"/>
  <c r="C372" i="20" s="1"/>
  <c r="C373" i="20" s="1"/>
  <c r="C374" i="20" s="1"/>
  <c r="C375" i="20" s="1"/>
  <c r="C376" i="20" s="1"/>
  <c r="C377" i="20" s="1"/>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C400" i="20" s="1"/>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C429" i="20" s="1"/>
  <c r="K365" i="20"/>
  <c r="I364" i="20"/>
  <c r="O351" i="20"/>
  <c r="D281" i="20"/>
  <c r="C281" i="20"/>
  <c r="C282" i="20" s="1"/>
  <c r="C283" i="20" s="1"/>
  <c r="C284" i="20" s="1"/>
  <c r="C285" i="20" s="1"/>
  <c r="C286" i="20" s="1"/>
  <c r="C287" i="20" s="1"/>
  <c r="C288" i="20" s="1"/>
  <c r="C289" i="20" s="1"/>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C311" i="20" s="1"/>
  <c r="C312" i="20" s="1"/>
  <c r="C313" i="20" s="1"/>
  <c r="C314" i="20" s="1"/>
  <c r="C315" i="20" s="1"/>
  <c r="C316" i="20" s="1"/>
  <c r="C317" i="20" s="1"/>
  <c r="C318" i="20" s="1"/>
  <c r="C319" i="20" s="1"/>
  <c r="C320" i="20" s="1"/>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C340" i="20" s="1"/>
  <c r="K276" i="20"/>
  <c r="I275" i="20"/>
  <c r="O262" i="20"/>
  <c r="N262" i="20"/>
  <c r="D192" i="20"/>
  <c r="C192" i="20"/>
  <c r="C193" i="20" s="1"/>
  <c r="C194" i="20" s="1"/>
  <c r="C195" i="20" s="1"/>
  <c r="C196" i="20" s="1"/>
  <c r="C197" i="20" s="1"/>
  <c r="C198" i="20" s="1"/>
  <c r="C199" i="20" s="1"/>
  <c r="C200" i="20" s="1"/>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C251" i="20" s="1"/>
  <c r="K187" i="20"/>
  <c r="I186" i="20"/>
  <c r="O173" i="20"/>
  <c r="N173" i="20"/>
  <c r="D103" i="20"/>
  <c r="C103" i="20"/>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C161" i="20" s="1"/>
  <c r="C162" i="20" s="1"/>
  <c r="K98" i="20"/>
  <c r="I97" i="20"/>
  <c r="O84" i="20"/>
  <c r="N84" i="20"/>
  <c r="G22" i="50"/>
  <c r="G23" i="50" s="1"/>
  <c r="G24" i="50" s="1"/>
  <c r="G25" i="50" s="1"/>
  <c r="G26" i="50" s="1"/>
  <c r="G27" i="50" s="1"/>
  <c r="G28" i="50" s="1"/>
  <c r="G29" i="50" s="1"/>
  <c r="G30" i="50" s="1"/>
  <c r="G31" i="50" s="1"/>
  <c r="G32" i="50" s="1"/>
  <c r="F10" i="50"/>
  <c r="B10" i="50"/>
  <c r="G22" i="49"/>
  <c r="G23" i="49" s="1"/>
  <c r="G24" i="49" s="1"/>
  <c r="G25" i="49" s="1"/>
  <c r="G26" i="49" s="1"/>
  <c r="G27" i="49" s="1"/>
  <c r="G28" i="49" s="1"/>
  <c r="G29" i="49" s="1"/>
  <c r="G30" i="49" s="1"/>
  <c r="G31" i="49" s="1"/>
  <c r="G32" i="49" s="1"/>
  <c r="F10" i="49"/>
  <c r="B10" i="49"/>
  <c r="G22" i="47"/>
  <c r="G23" i="47" s="1"/>
  <c r="G24" i="47" s="1"/>
  <c r="G25" i="47" s="1"/>
  <c r="G26" i="47" s="1"/>
  <c r="G27" i="47" s="1"/>
  <c r="G28" i="47" s="1"/>
  <c r="G29" i="47" s="1"/>
  <c r="G30" i="47" s="1"/>
  <c r="G31" i="47" s="1"/>
  <c r="G32" i="47" s="1"/>
  <c r="F10" i="47"/>
  <c r="B10" i="47"/>
  <c r="D23" i="41"/>
  <c r="L249" i="2" s="1"/>
  <c r="G256" i="2" s="1"/>
  <c r="J256" i="2" s="1"/>
  <c r="F17" i="48"/>
  <c r="B14" i="48"/>
  <c r="A6" i="48"/>
  <c r="A23" i="48"/>
  <c r="A24" i="48" s="1"/>
  <c r="A25" i="48" s="1"/>
  <c r="A26" i="48" s="1"/>
  <c r="A27" i="48" s="1"/>
  <c r="A4" i="48"/>
  <c r="C63" i="41"/>
  <c r="B48" i="41"/>
  <c r="I29" i="30"/>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109" i="39"/>
  <c r="S72" i="38"/>
  <c r="R72" i="38"/>
  <c r="Q72" i="38"/>
  <c r="O72" i="38"/>
  <c r="N72" i="38"/>
  <c r="M72" i="38"/>
  <c r="D43" i="5"/>
  <c r="D42" i="5"/>
  <c r="D27" i="5"/>
  <c r="D19" i="5"/>
  <c r="F87" i="35"/>
  <c r="S177" i="38"/>
  <c r="S183" i="38" s="1"/>
  <c r="R177" i="38"/>
  <c r="R183" i="38" s="1"/>
  <c r="Q177" i="38"/>
  <c r="Q183" i="38" s="1"/>
  <c r="O177" i="38"/>
  <c r="O183" i="38" s="1"/>
  <c r="N177" i="38"/>
  <c r="N183" i="38" s="1"/>
  <c r="M177" i="38"/>
  <c r="M183" i="38" s="1"/>
  <c r="S71" i="38"/>
  <c r="R71" i="38"/>
  <c r="Q71" i="38"/>
  <c r="O71" i="38"/>
  <c r="N71" i="38"/>
  <c r="M71" i="38"/>
  <c r="F13" i="38"/>
  <c r="B3" i="38"/>
  <c r="A72" i="38"/>
  <c r="D26" i="5" s="1"/>
  <c r="E72" i="38"/>
  <c r="F72" i="38"/>
  <c r="A180" i="38"/>
  <c r="A183" i="38" s="1"/>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S110" i="39"/>
  <c r="R110" i="39"/>
  <c r="Q110" i="39"/>
  <c r="O110" i="39"/>
  <c r="N110" i="39"/>
  <c r="M110" i="39"/>
  <c r="F110" i="39"/>
  <c r="E110" i="39"/>
  <c r="S184" i="38"/>
  <c r="R184" i="38"/>
  <c r="Q184" i="38"/>
  <c r="O184" i="38"/>
  <c r="N184" i="38"/>
  <c r="M184" i="38"/>
  <c r="F184" i="38"/>
  <c r="E184" i="38"/>
  <c r="K107" i="39"/>
  <c r="J107" i="39"/>
  <c r="I107" i="39"/>
  <c r="D107" i="39"/>
  <c r="C107" i="39"/>
  <c r="K106" i="39"/>
  <c r="J106" i="39"/>
  <c r="I106" i="39"/>
  <c r="F106" i="39"/>
  <c r="E106" i="39"/>
  <c r="F105" i="39"/>
  <c r="E105" i="39"/>
  <c r="F104" i="39"/>
  <c r="F103" i="39"/>
  <c r="E103" i="39"/>
  <c r="E102" i="39"/>
  <c r="F102" i="39"/>
  <c r="F101" i="39"/>
  <c r="E101" i="39"/>
  <c r="F100" i="39"/>
  <c r="E100" i="39"/>
  <c r="F99" i="39"/>
  <c r="E99" i="39"/>
  <c r="F98" i="39"/>
  <c r="E98" i="39"/>
  <c r="F97" i="39"/>
  <c r="E97" i="39"/>
  <c r="F96" i="39"/>
  <c r="E96" i="39"/>
  <c r="K95" i="39"/>
  <c r="D95" i="39"/>
  <c r="C95" i="39"/>
  <c r="I95" i="39"/>
  <c r="D94" i="39"/>
  <c r="J94" i="39"/>
  <c r="I94" i="39"/>
  <c r="C94" i="39"/>
  <c r="C93" i="39"/>
  <c r="K93" i="39"/>
  <c r="J93" i="39"/>
  <c r="D92" i="39"/>
  <c r="K92" i="39"/>
  <c r="J91" i="39"/>
  <c r="I91" i="39"/>
  <c r="D90" i="39"/>
  <c r="J90" i="39"/>
  <c r="I90" i="39"/>
  <c r="I89" i="39"/>
  <c r="K89" i="39"/>
  <c r="J89" i="39"/>
  <c r="D89" i="39"/>
  <c r="C89" i="39"/>
  <c r="J88" i="39"/>
  <c r="D88" i="39"/>
  <c r="K88" i="39"/>
  <c r="K87" i="39"/>
  <c r="D87" i="39"/>
  <c r="C87" i="39"/>
  <c r="I87" i="39"/>
  <c r="D86" i="39"/>
  <c r="J86" i="39"/>
  <c r="I86" i="39"/>
  <c r="C85" i="39"/>
  <c r="J85" i="39"/>
  <c r="J84" i="39"/>
  <c r="K84" i="39"/>
  <c r="D84" i="39"/>
  <c r="K83" i="39"/>
  <c r="J83" i="39"/>
  <c r="I83" i="39"/>
  <c r="D82" i="39"/>
  <c r="J82" i="39"/>
  <c r="I82" i="39"/>
  <c r="I81" i="39"/>
  <c r="K81" i="39"/>
  <c r="J81" i="39"/>
  <c r="D81" i="39"/>
  <c r="C81" i="39"/>
  <c r="J80" i="39"/>
  <c r="D80" i="39"/>
  <c r="K80" i="39"/>
  <c r="K79" i="39"/>
  <c r="D79" i="39"/>
  <c r="C79" i="39"/>
  <c r="I79" i="39"/>
  <c r="D78" i="39"/>
  <c r="J78" i="39"/>
  <c r="I78" i="39"/>
  <c r="C78" i="39"/>
  <c r="C77" i="39"/>
  <c r="K77" i="39"/>
  <c r="J77" i="39"/>
  <c r="J76" i="39"/>
  <c r="K76" i="39"/>
  <c r="K75" i="39"/>
  <c r="J75" i="39"/>
  <c r="I75" i="39"/>
  <c r="D74" i="39"/>
  <c r="J74" i="39"/>
  <c r="I74" i="39"/>
  <c r="I73" i="39"/>
  <c r="K73" i="39"/>
  <c r="J73" i="39"/>
  <c r="D73" i="39"/>
  <c r="C73" i="39"/>
  <c r="J72" i="39"/>
  <c r="D72" i="39"/>
  <c r="K72" i="39"/>
  <c r="K71" i="39"/>
  <c r="D71" i="39"/>
  <c r="C71" i="39"/>
  <c r="I71" i="39"/>
  <c r="D70" i="39"/>
  <c r="J70" i="39"/>
  <c r="I70" i="39"/>
  <c r="D69" i="39"/>
  <c r="C69" i="39"/>
  <c r="J69" i="39"/>
  <c r="J68" i="39"/>
  <c r="K68" i="39"/>
  <c r="D68" i="39"/>
  <c r="J67" i="39"/>
  <c r="I67" i="39"/>
  <c r="D66" i="39"/>
  <c r="J66" i="39"/>
  <c r="I66" i="39"/>
  <c r="I65" i="39"/>
  <c r="K65" i="39"/>
  <c r="J65" i="39"/>
  <c r="D65" i="39"/>
  <c r="C65" i="39"/>
  <c r="D64" i="39"/>
  <c r="J64" i="39"/>
  <c r="K64" i="39"/>
  <c r="D63" i="39"/>
  <c r="K63" i="39"/>
  <c r="C63" i="39"/>
  <c r="I63" i="39"/>
  <c r="D62" i="39"/>
  <c r="J62" i="39"/>
  <c r="I62" i="39"/>
  <c r="C62" i="39"/>
  <c r="D61" i="39"/>
  <c r="C61" i="39"/>
  <c r="K61" i="39"/>
  <c r="J61" i="39"/>
  <c r="D60" i="39"/>
  <c r="K60" i="39"/>
  <c r="J59" i="39"/>
  <c r="I59" i="39"/>
  <c r="D58" i="39"/>
  <c r="J58" i="39"/>
  <c r="I58" i="39"/>
  <c r="I57" i="39"/>
  <c r="K57" i="39"/>
  <c r="J57" i="39"/>
  <c r="D57" i="39"/>
  <c r="C57" i="39"/>
  <c r="D56" i="39"/>
  <c r="J56" i="39"/>
  <c r="K56" i="39"/>
  <c r="D55" i="39"/>
  <c r="K55" i="39"/>
  <c r="C55" i="39"/>
  <c r="I55" i="39"/>
  <c r="D54" i="39"/>
  <c r="C54" i="39"/>
  <c r="I54" i="39"/>
  <c r="K53" i="39"/>
  <c r="I53" i="39"/>
  <c r="J53" i="39"/>
  <c r="D53" i="39"/>
  <c r="K52" i="39"/>
  <c r="D52" i="39"/>
  <c r="C52" i="39"/>
  <c r="I52" i="39"/>
  <c r="D51" i="39"/>
  <c r="J51" i="39"/>
  <c r="I51" i="39"/>
  <c r="C51" i="39"/>
  <c r="I50" i="39"/>
  <c r="C50" i="39"/>
  <c r="J50" i="39"/>
  <c r="J49" i="39"/>
  <c r="K49" i="39"/>
  <c r="K48" i="39"/>
  <c r="J48" i="39"/>
  <c r="I48" i="39"/>
  <c r="D47" i="39"/>
  <c r="K47" i="39"/>
  <c r="J47" i="39"/>
  <c r="I47" i="39"/>
  <c r="I46" i="39"/>
  <c r="K46" i="39"/>
  <c r="J46" i="39"/>
  <c r="D46" i="39"/>
  <c r="C46" i="39"/>
  <c r="J45" i="39"/>
  <c r="D45" i="39"/>
  <c r="K45" i="39"/>
  <c r="K44" i="39"/>
  <c r="D44" i="39"/>
  <c r="C44" i="39"/>
  <c r="I44" i="39"/>
  <c r="D43" i="39"/>
  <c r="J43" i="39"/>
  <c r="I43" i="39"/>
  <c r="C43" i="39"/>
  <c r="I42" i="39"/>
  <c r="C42" i="39"/>
  <c r="J42" i="39"/>
  <c r="J41" i="39"/>
  <c r="K41" i="39"/>
  <c r="K40" i="39"/>
  <c r="J40" i="39"/>
  <c r="I40" i="39"/>
  <c r="D39" i="39"/>
  <c r="K39" i="39"/>
  <c r="J39" i="39"/>
  <c r="I39" i="39"/>
  <c r="I38" i="39"/>
  <c r="K38" i="39"/>
  <c r="J38" i="39"/>
  <c r="D38" i="39"/>
  <c r="C38" i="39"/>
  <c r="J37" i="39"/>
  <c r="D37" i="39"/>
  <c r="K37" i="39"/>
  <c r="K36" i="39"/>
  <c r="D36" i="39"/>
  <c r="C36" i="39"/>
  <c r="I36" i="39"/>
  <c r="D35" i="39"/>
  <c r="J35" i="39"/>
  <c r="I35" i="39"/>
  <c r="C35" i="39"/>
  <c r="I34" i="39"/>
  <c r="C34" i="39"/>
  <c r="J34" i="39"/>
  <c r="J33" i="39"/>
  <c r="K33" i="39"/>
  <c r="K32" i="39"/>
  <c r="J32" i="39"/>
  <c r="I32"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97" i="38"/>
  <c r="R197" i="38"/>
  <c r="Q197" i="38"/>
  <c r="O197" i="38"/>
  <c r="N197" i="38"/>
  <c r="M197" i="38"/>
  <c r="F197" i="38"/>
  <c r="E197" i="38"/>
  <c r="K195" i="38"/>
  <c r="J195" i="38"/>
  <c r="I195" i="38"/>
  <c r="D195" i="38"/>
  <c r="C195" i="38"/>
  <c r="K194" i="38"/>
  <c r="J194" i="38"/>
  <c r="I194" i="38"/>
  <c r="D194" i="38"/>
  <c r="C194" i="38"/>
  <c r="F181" i="38"/>
  <c r="E181" i="38"/>
  <c r="K180" i="38"/>
  <c r="J180" i="38"/>
  <c r="I180" i="38"/>
  <c r="D180" i="38"/>
  <c r="C180" i="38"/>
  <c r="F174" i="38"/>
  <c r="E174" i="38"/>
  <c r="F173" i="38"/>
  <c r="E173" i="38"/>
  <c r="F172" i="38"/>
  <c r="F171" i="38"/>
  <c r="E171" i="38"/>
  <c r="F170" i="38"/>
  <c r="E170" i="38"/>
  <c r="F169" i="38"/>
  <c r="E169" i="38"/>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C156" i="38"/>
  <c r="D155" i="38"/>
  <c r="K155" i="38"/>
  <c r="I154" i="38"/>
  <c r="D153" i="38"/>
  <c r="I153" i="38"/>
  <c r="K152" i="38"/>
  <c r="J152" i="38"/>
  <c r="D152" i="38"/>
  <c r="K151" i="38"/>
  <c r="K150" i="38"/>
  <c r="I150" i="38"/>
  <c r="C149" i="38"/>
  <c r="J149" i="38"/>
  <c r="D148" i="38"/>
  <c r="C148" i="38"/>
  <c r="J148" i="38"/>
  <c r="K147" i="38"/>
  <c r="J147" i="38"/>
  <c r="I147" i="38"/>
  <c r="D147" i="38"/>
  <c r="J146" i="38"/>
  <c r="I146" i="38"/>
  <c r="C146" i="38"/>
  <c r="C145" i="38"/>
  <c r="J145" i="38"/>
  <c r="C144" i="38"/>
  <c r="J144" i="38"/>
  <c r="D144" i="38"/>
  <c r="K143" i="38"/>
  <c r="J143" i="38"/>
  <c r="J142" i="38"/>
  <c r="I142" i="38"/>
  <c r="J141" i="38"/>
  <c r="K141" i="38"/>
  <c r="C141" i="38"/>
  <c r="J140" i="38"/>
  <c r="I140" i="38"/>
  <c r="K140" i="38"/>
  <c r="D140" i="38"/>
  <c r="C140" i="38"/>
  <c r="D139" i="38"/>
  <c r="C139" i="38"/>
  <c r="K139" i="38"/>
  <c r="I138" i="38"/>
  <c r="K137" i="38"/>
  <c r="J137" i="38"/>
  <c r="I137" i="38"/>
  <c r="D137" i="38"/>
  <c r="J136" i="38"/>
  <c r="K136" i="38"/>
  <c r="D136" i="38"/>
  <c r="D135" i="38"/>
  <c r="J135" i="38"/>
  <c r="K135" i="38"/>
  <c r="D134" i="38"/>
  <c r="K134" i="38"/>
  <c r="K133" i="38"/>
  <c r="I133" i="38"/>
  <c r="D132" i="38"/>
  <c r="J132" i="38"/>
  <c r="K131" i="38"/>
  <c r="D131" i="38"/>
  <c r="C131" i="38"/>
  <c r="I131" i="38"/>
  <c r="J130" i="38"/>
  <c r="I130" i="38"/>
  <c r="C130" i="38"/>
  <c r="K129" i="38"/>
  <c r="I129" i="38"/>
  <c r="J128" i="38"/>
  <c r="I128" i="38"/>
  <c r="K128" i="38"/>
  <c r="C128" i="38"/>
  <c r="C127" i="38"/>
  <c r="K127" i="38"/>
  <c r="I127" i="38"/>
  <c r="D127" i="38"/>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C116" i="38"/>
  <c r="K116" i="38"/>
  <c r="J116" i="38"/>
  <c r="D115" i="38"/>
  <c r="K115" i="38"/>
  <c r="J115" i="38"/>
  <c r="C115" i="38"/>
  <c r="K114" i="38"/>
  <c r="D114" i="38"/>
  <c r="J114" i="38"/>
  <c r="I114" i="38"/>
  <c r="J113" i="38"/>
  <c r="I113" i="38"/>
  <c r="C113" i="38"/>
  <c r="I112" i="38"/>
  <c r="J112" i="38"/>
  <c r="K112" i="38"/>
  <c r="D112" i="38"/>
  <c r="C112" i="38"/>
  <c r="J111" i="38"/>
  <c r="D111" i="38"/>
  <c r="C111" i="38"/>
  <c r="K111" i="38"/>
  <c r="D110" i="38"/>
  <c r="C110" i="38"/>
  <c r="K110" i="38"/>
  <c r="I109" i="38"/>
  <c r="D108" i="38"/>
  <c r="I108" i="38"/>
  <c r="J107" i="38"/>
  <c r="K107" i="38"/>
  <c r="D107" i="38"/>
  <c r="K106" i="38"/>
  <c r="D106" i="38"/>
  <c r="D105" i="38"/>
  <c r="J105" i="38"/>
  <c r="I105" i="38"/>
  <c r="D104" i="38"/>
  <c r="K104" i="38"/>
  <c r="J104" i="38"/>
  <c r="I104" i="38"/>
  <c r="D103" i="38"/>
  <c r="J103" i="38"/>
  <c r="K102" i="38"/>
  <c r="D102" i="38"/>
  <c r="D101" i="38"/>
  <c r="I101" i="38"/>
  <c r="K100" i="38"/>
  <c r="J100" i="38"/>
  <c r="C100" i="38"/>
  <c r="D99" i="38"/>
  <c r="C99" i="38"/>
  <c r="K99" i="38"/>
  <c r="J99" i="38"/>
  <c r="K98" i="38"/>
  <c r="J98" i="38"/>
  <c r="I98" i="38"/>
  <c r="D97" i="38"/>
  <c r="I97" i="38"/>
  <c r="I96" i="38"/>
  <c r="J96" i="38"/>
  <c r="K96" i="38"/>
  <c r="C96" i="38"/>
  <c r="J95" i="38"/>
  <c r="I95" i="38"/>
  <c r="K95" i="38"/>
  <c r="D95" i="38"/>
  <c r="C95" i="38"/>
  <c r="D94" i="38"/>
  <c r="C94" i="38"/>
  <c r="K94" i="38"/>
  <c r="I94" i="38"/>
  <c r="K93" i="38"/>
  <c r="I93" i="38"/>
  <c r="K92" i="38"/>
  <c r="I92" i="38"/>
  <c r="D92" i="38"/>
  <c r="J91" i="38"/>
  <c r="K91" i="38"/>
  <c r="D90" i="38"/>
  <c r="K90" i="38"/>
  <c r="D89" i="38"/>
  <c r="J89" i="38"/>
  <c r="I89" i="38"/>
  <c r="C88" i="38"/>
  <c r="I88" i="38"/>
  <c r="D87" i="38"/>
  <c r="J87" i="38"/>
  <c r="K86" i="38"/>
  <c r="J86" i="38"/>
  <c r="D86" i="38"/>
  <c r="D85" i="38"/>
  <c r="I85" i="38"/>
  <c r="J85" i="38"/>
  <c r="C85" i="38"/>
  <c r="C84" i="38"/>
  <c r="K84" i="38"/>
  <c r="J84" i="38"/>
  <c r="D83" i="38"/>
  <c r="K83" i="38"/>
  <c r="J83" i="38"/>
  <c r="C83" i="38"/>
  <c r="K82" i="38"/>
  <c r="D82" i="38"/>
  <c r="J82" i="38"/>
  <c r="I82" i="38"/>
  <c r="J81" i="38"/>
  <c r="I81" i="38"/>
  <c r="C81" i="38"/>
  <c r="I80" i="38"/>
  <c r="J80" i="38"/>
  <c r="K80" i="38"/>
  <c r="D80" i="38"/>
  <c r="C80" i="38"/>
  <c r="J79" i="38"/>
  <c r="D79" i="38"/>
  <c r="K79" i="38"/>
  <c r="D78" i="38"/>
  <c r="C78" i="38"/>
  <c r="K78" i="38"/>
  <c r="I77" i="38"/>
  <c r="I76" i="38"/>
  <c r="F68" i="38"/>
  <c r="E68" i="38"/>
  <c r="F67" i="38"/>
  <c r="E67" i="38"/>
  <c r="F66" i="38"/>
  <c r="E66" i="38"/>
  <c r="J65" i="38"/>
  <c r="K65" i="38"/>
  <c r="D65" i="38"/>
  <c r="K64" i="38"/>
  <c r="D64" i="38"/>
  <c r="D63" i="38"/>
  <c r="J63" i="38"/>
  <c r="I63" i="38"/>
  <c r="D62" i="38"/>
  <c r="K62" i="38"/>
  <c r="J62" i="38"/>
  <c r="I62" i="38"/>
  <c r="D61" i="38"/>
  <c r="J61" i="38"/>
  <c r="K60" i="38"/>
  <c r="D60" i="38"/>
  <c r="D59" i="38"/>
  <c r="I59" i="38"/>
  <c r="K58" i="38"/>
  <c r="J58" i="38"/>
  <c r="C58" i="38"/>
  <c r="D57" i="38"/>
  <c r="K57" i="38"/>
  <c r="J57" i="38"/>
  <c r="C57" i="38"/>
  <c r="J56" i="38"/>
  <c r="K56" i="38"/>
  <c r="D56" i="38"/>
  <c r="K55" i="38"/>
  <c r="J55" i="38"/>
  <c r="I55" i="38"/>
  <c r="D54" i="38"/>
  <c r="K54" i="38"/>
  <c r="J54" i="38"/>
  <c r="I54" i="38"/>
  <c r="C53" i="38"/>
  <c r="I53" i="38"/>
  <c r="J53" i="38"/>
  <c r="D53" i="38"/>
  <c r="D52" i="38"/>
  <c r="K52" i="38"/>
  <c r="D51" i="38"/>
  <c r="C51" i="38"/>
  <c r="D50" i="38"/>
  <c r="C50" i="38"/>
  <c r="I50" i="38"/>
  <c r="D49" i="38"/>
  <c r="K49" i="38"/>
  <c r="J49" i="38"/>
  <c r="C49" i="38"/>
  <c r="J48" i="38"/>
  <c r="K48" i="38"/>
  <c r="D48" i="38"/>
  <c r="K47" i="38"/>
  <c r="J47" i="38"/>
  <c r="I47" i="38"/>
  <c r="D46" i="38"/>
  <c r="K46" i="38"/>
  <c r="J46" i="38"/>
  <c r="I46" i="38"/>
  <c r="C45" i="38"/>
  <c r="I45" i="38"/>
  <c r="J45" i="38"/>
  <c r="D45" i="38"/>
  <c r="D44" i="38"/>
  <c r="K44" i="38"/>
  <c r="D43" i="38"/>
  <c r="C43" i="38"/>
  <c r="D42" i="38"/>
  <c r="C42" i="38"/>
  <c r="I42" i="38"/>
  <c r="D41" i="38"/>
  <c r="K41" i="38"/>
  <c r="J41" i="38"/>
  <c r="C41" i="38"/>
  <c r="J40" i="38"/>
  <c r="K40" i="38"/>
  <c r="D40" i="38"/>
  <c r="K39" i="38"/>
  <c r="J39" i="38"/>
  <c r="I39" i="38"/>
  <c r="D38" i="38"/>
  <c r="K38" i="38"/>
  <c r="J38" i="38"/>
  <c r="I38" i="38"/>
  <c r="C37" i="38"/>
  <c r="I37" i="38"/>
  <c r="J37" i="38"/>
  <c r="D37" i="38"/>
  <c r="D36" i="38"/>
  <c r="K36" i="38"/>
  <c r="D35" i="38"/>
  <c r="I35" i="38"/>
  <c r="I34" i="38"/>
  <c r="K34" i="38"/>
  <c r="J34" i="38"/>
  <c r="D33" i="38"/>
  <c r="K33" i="38"/>
  <c r="J33" i="38"/>
  <c r="D32" i="38"/>
  <c r="J32" i="38"/>
  <c r="I32" i="38"/>
  <c r="D31" i="38"/>
  <c r="J31" i="38"/>
  <c r="I31" i="38"/>
  <c r="D30" i="38"/>
  <c r="C30" i="38"/>
  <c r="K30" i="38"/>
  <c r="J30" i="38"/>
  <c r="K29" i="38"/>
  <c r="D29" i="38"/>
  <c r="J29" i="38"/>
  <c r="I29" i="38"/>
  <c r="D28" i="38"/>
  <c r="K28" i="38"/>
  <c r="I28" i="38"/>
  <c r="S23" i="38"/>
  <c r="R23" i="38"/>
  <c r="Q23" i="38"/>
  <c r="O23" i="38"/>
  <c r="N23" i="38"/>
  <c r="M23" i="38"/>
  <c r="F21" i="38"/>
  <c r="E21" i="38"/>
  <c r="F20" i="38"/>
  <c r="E20" i="38"/>
  <c r="F19" i="38"/>
  <c r="E19" i="38"/>
  <c r="K17" i="38"/>
  <c r="K23" i="38" s="1"/>
  <c r="J17" i="38"/>
  <c r="J23" i="38" s="1"/>
  <c r="I17" i="38"/>
  <c r="I23" i="38" s="1"/>
  <c r="D17" i="38"/>
  <c r="C17" i="38"/>
  <c r="C23" i="38" s="1"/>
  <c r="A24" i="38"/>
  <c r="D18" i="5" s="1"/>
  <c r="Q27" i="21"/>
  <c r="Q22" i="21"/>
  <c r="Q17" i="21"/>
  <c r="A2" i="41"/>
  <c r="A11" i="41"/>
  <c r="A12" i="41" s="1"/>
  <c r="A13" i="41" s="1"/>
  <c r="A14" i="41" s="1"/>
  <c r="A15" i="41" s="1"/>
  <c r="A16" i="41" s="1"/>
  <c r="A17" i="41" s="1"/>
  <c r="A18" i="41" s="1"/>
  <c r="A19" i="41" s="1"/>
  <c r="A20" i="41" s="1"/>
  <c r="A21" i="41" s="1"/>
  <c r="A22" i="41" s="1"/>
  <c r="A23" i="41" s="1"/>
  <c r="E69" i="41"/>
  <c r="E70" i="41"/>
  <c r="E71" i="41"/>
  <c r="E72" i="41"/>
  <c r="B85" i="41"/>
  <c r="B86" i="41"/>
  <c r="B87" i="41"/>
  <c r="B91" i="41"/>
  <c r="B92" i="41"/>
  <c r="B93" i="41"/>
  <c r="B97" i="41"/>
  <c r="B98" i="41"/>
  <c r="B99" i="41"/>
  <c r="C100" i="41"/>
  <c r="C101" i="41" s="1"/>
  <c r="D100" i="41"/>
  <c r="E110" i="2"/>
  <c r="E67" i="35"/>
  <c r="F67" i="35"/>
  <c r="D67" i="35"/>
  <c r="A69" i="35"/>
  <c r="A71" i="35" s="1"/>
  <c r="A75" i="35" s="1"/>
  <c r="A76" i="35" s="1"/>
  <c r="A77" i="35" s="1"/>
  <c r="A78" i="35" s="1"/>
  <c r="A79" i="35" s="1"/>
  <c r="A80" i="35" s="1"/>
  <c r="A84" i="35" s="1"/>
  <c r="E80" i="35"/>
  <c r="D80" i="35"/>
  <c r="F79" i="35"/>
  <c r="F78" i="35"/>
  <c r="F77" i="35"/>
  <c r="F76" i="35"/>
  <c r="F75" i="35"/>
  <c r="A11" i="35"/>
  <c r="A12" i="35" s="1"/>
  <c r="A13" i="35" s="1"/>
  <c r="A14" i="35" s="1"/>
  <c r="A15" i="35" s="1"/>
  <c r="A16" i="35" s="1"/>
  <c r="A17" i="35" s="1"/>
  <c r="A18" i="35" s="1"/>
  <c r="A19" i="35" s="1"/>
  <c r="A20" i="35" s="1"/>
  <c r="A21" i="35" s="1"/>
  <c r="A22" i="35" s="1"/>
  <c r="A23" i="35"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A6" i="30"/>
  <c r="D21" i="9"/>
  <c r="G148" i="2" s="1"/>
  <c r="D351" i="2"/>
  <c r="D295" i="2"/>
  <c r="L26" i="20"/>
  <c r="I96" i="20" s="1"/>
  <c r="A4" i="21"/>
  <c r="A4" i="30"/>
  <c r="A4" i="11"/>
  <c r="A4" i="10"/>
  <c r="A4" i="9"/>
  <c r="A4" i="8"/>
  <c r="A4" i="7"/>
  <c r="A4" i="6"/>
  <c r="A4" i="5"/>
  <c r="F7" i="2"/>
  <c r="F56" i="2" s="1"/>
  <c r="F130" i="2" s="1"/>
  <c r="F218" i="2" s="1"/>
  <c r="F264" i="2" s="1"/>
  <c r="F16" i="13"/>
  <c r="F18" i="13" s="1"/>
  <c r="E23" i="13" s="1"/>
  <c r="F16" i="20"/>
  <c r="F18" i="20" s="1"/>
  <c r="E23" i="20" s="1"/>
  <c r="B13" i="2"/>
  <c r="O8" i="20"/>
  <c r="O17" i="21"/>
  <c r="O22" i="21"/>
  <c r="O27" i="21"/>
  <c r="I21" i="6"/>
  <c r="G116" i="2" s="1"/>
  <c r="A24" i="9"/>
  <c r="A25" i="9" s="1"/>
  <c r="A26" i="9" s="1"/>
  <c r="A27" i="9" s="1"/>
  <c r="A28" i="9" s="1"/>
  <c r="A29" i="9" s="1"/>
  <c r="A30" i="9" s="1"/>
  <c r="A31" i="9" s="1"/>
  <c r="A32" i="9" s="1"/>
  <c r="A33" i="9" s="1"/>
  <c r="A15" i="7"/>
  <c r="A17" i="7" s="1"/>
  <c r="A18" i="7" s="1"/>
  <c r="A19" i="7" s="1"/>
  <c r="A21" i="7" s="1"/>
  <c r="A17" i="6"/>
  <c r="A19" i="6" s="1"/>
  <c r="A21" i="6" s="1"/>
  <c r="A27" i="6" s="1"/>
  <c r="A29" i="6" s="1"/>
  <c r="A30" i="6" s="1"/>
  <c r="A31" i="6" s="1"/>
  <c r="A37" i="6" s="1"/>
  <c r="A39" i="6" s="1"/>
  <c r="A40" i="6" s="1"/>
  <c r="A41" i="6" s="1"/>
  <c r="A42" i="6" s="1"/>
  <c r="A43" i="6" s="1"/>
  <c r="A44" i="6" s="1"/>
  <c r="A45" i="6" s="1"/>
  <c r="A46" i="6" s="1"/>
  <c r="A47" i="6" s="1"/>
  <c r="A48" i="6" s="1"/>
  <c r="A49" i="6" s="1"/>
  <c r="A50" i="6" s="1"/>
  <c r="A51" i="6" s="1"/>
  <c r="A52" i="6" s="1"/>
  <c r="A53" i="6" s="1"/>
  <c r="A15" i="30"/>
  <c r="A25" i="30" s="1"/>
  <c r="A27" i="30" s="1"/>
  <c r="A33" i="30" s="1"/>
  <c r="A44" i="30" s="1"/>
  <c r="A51" i="30" s="1"/>
  <c r="A60" i="30" s="1"/>
  <c r="A61" i="30" s="1"/>
  <c r="A63" i="30" s="1"/>
  <c r="A65" i="30" s="1"/>
  <c r="A71" i="30" s="1"/>
  <c r="A72" i="30" s="1"/>
  <c r="A74" i="30" s="1"/>
  <c r="A75" i="30" s="1"/>
  <c r="A79" i="30" s="1"/>
  <c r="A83" i="30" s="1"/>
  <c r="A93" i="30" s="1"/>
  <c r="A100" i="30" s="1"/>
  <c r="A103" i="30" s="1"/>
  <c r="A107" i="30" s="1"/>
  <c r="A110" i="30" s="1"/>
  <c r="A113" i="30" s="1"/>
  <c r="A17" i="11"/>
  <c r="A19" i="11" s="1"/>
  <c r="A20" i="11" s="1"/>
  <c r="A21" i="11" s="1"/>
  <c r="A22" i="11" s="1"/>
  <c r="A24" i="11" s="1"/>
  <c r="A25" i="11" s="1"/>
  <c r="A26" i="11" s="1"/>
  <c r="A27" i="11" s="1"/>
  <c r="A29" i="11" s="1"/>
  <c r="A30" i="11" s="1"/>
  <c r="A32" i="11" s="1"/>
  <c r="A33" i="11" s="1"/>
  <c r="A34" i="11" s="1"/>
  <c r="A35" i="11" s="1"/>
  <c r="A36" i="11" s="1"/>
  <c r="A37" i="11" s="1"/>
  <c r="A38" i="11" s="1"/>
  <c r="A39" i="11" s="1"/>
  <c r="A40" i="11" s="1"/>
  <c r="A41" i="11" s="1"/>
  <c r="A42" i="11" s="1"/>
  <c r="J29" i="8"/>
  <c r="A4" i="13"/>
  <c r="A4" i="20"/>
  <c r="C60" i="13"/>
  <c r="K33" i="21"/>
  <c r="A22" i="21"/>
  <c r="A27" i="21" s="1"/>
  <c r="A33" i="21" s="1"/>
  <c r="D209" i="2" s="1"/>
  <c r="L168" i="2"/>
  <c r="F48" i="13"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68" i="6"/>
  <c r="B66" i="6" s="1"/>
  <c r="G12" i="6"/>
  <c r="G10" i="5"/>
  <c r="B4" i="14"/>
  <c r="O8" i="13"/>
  <c r="P8" i="13"/>
  <c r="C11" i="13"/>
  <c r="C14" i="13"/>
  <c r="C18" i="13"/>
  <c r="C26" i="13"/>
  <c r="C32" i="13"/>
  <c r="C42" i="13"/>
  <c r="C43" i="13"/>
  <c r="C53" i="13"/>
  <c r="C55" i="13"/>
  <c r="C58" i="13"/>
  <c r="C62" i="13"/>
  <c r="C65" i="13"/>
  <c r="C66" i="13"/>
  <c r="C68" i="13"/>
  <c r="C69" i="13"/>
  <c r="C71" i="13"/>
  <c r="A4" i="12"/>
  <c r="A6" i="12"/>
  <c r="C49" i="11"/>
  <c r="M53" i="11"/>
  <c r="C60" i="11"/>
  <c r="M64" i="11"/>
  <c r="A3" i="6"/>
  <c r="A3" i="7" s="1"/>
  <c r="A15" i="8"/>
  <c r="A17" i="8" s="1"/>
  <c r="A19" i="8" s="1"/>
  <c r="A21" i="8" s="1"/>
  <c r="A27" i="8" s="1"/>
  <c r="A29" i="8" s="1"/>
  <c r="A31" i="8" s="1"/>
  <c r="A39" i="8" s="1"/>
  <c r="E12" i="6"/>
  <c r="C29" i="6"/>
  <c r="D36" i="6"/>
  <c r="B34" i="6" s="1"/>
  <c r="E10" i="5"/>
  <c r="A17" i="5"/>
  <c r="A18" i="5" s="1"/>
  <c r="A19" i="5" s="1"/>
  <c r="A20" i="5" s="1"/>
  <c r="A23" i="5" s="1"/>
  <c r="A25" i="5" s="1"/>
  <c r="A26" i="5" s="1"/>
  <c r="A27" i="5" s="1"/>
  <c r="A28" i="5" s="1"/>
  <c r="A31" i="5" s="1"/>
  <c r="A33" i="5" s="1"/>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D174" i="2"/>
  <c r="C33" i="39"/>
  <c r="I33" i="39"/>
  <c r="C41" i="39"/>
  <c r="I41" i="39"/>
  <c r="K42" i="39"/>
  <c r="C27" i="39"/>
  <c r="C49" i="39"/>
  <c r="I49" i="39"/>
  <c r="I77" i="39"/>
  <c r="D77" i="39"/>
  <c r="I93" i="39"/>
  <c r="D93" i="39"/>
  <c r="O109" i="39"/>
  <c r="J18" i="39"/>
  <c r="K23" i="39"/>
  <c r="I25" i="39"/>
  <c r="D26" i="39"/>
  <c r="D33" i="39"/>
  <c r="K34" i="39"/>
  <c r="D41" i="39"/>
  <c r="D49" i="39"/>
  <c r="K50" i="39"/>
  <c r="K54" i="39"/>
  <c r="C60" i="39"/>
  <c r="I60" i="39"/>
  <c r="K66" i="39"/>
  <c r="C66" i="39"/>
  <c r="K67" i="39"/>
  <c r="C76" i="39"/>
  <c r="I76" i="39"/>
  <c r="K82" i="39"/>
  <c r="C82" i="39"/>
  <c r="C92" i="39"/>
  <c r="I92" i="39"/>
  <c r="C17" i="39"/>
  <c r="K17" i="39"/>
  <c r="Q109" i="39"/>
  <c r="C19" i="39"/>
  <c r="J20" i="39"/>
  <c r="J22" i="39"/>
  <c r="J23" i="39"/>
  <c r="K27" i="39"/>
  <c r="J28" i="39"/>
  <c r="C29" i="39"/>
  <c r="I29" i="39"/>
  <c r="K35" i="39"/>
  <c r="J36" i="39"/>
  <c r="C37" i="39"/>
  <c r="I37" i="39"/>
  <c r="K43" i="39"/>
  <c r="J44" i="39"/>
  <c r="C45" i="39"/>
  <c r="I45" i="39"/>
  <c r="K51" i="39"/>
  <c r="J52" i="39"/>
  <c r="J54" i="39"/>
  <c r="J60" i="39"/>
  <c r="K69" i="39"/>
  <c r="C70" i="39"/>
  <c r="K85" i="39"/>
  <c r="I85" i="39"/>
  <c r="D85" i="39"/>
  <c r="C86" i="39"/>
  <c r="J92" i="39"/>
  <c r="E104" i="39"/>
  <c r="D17" i="39"/>
  <c r="I17" i="39"/>
  <c r="R109" i="39"/>
  <c r="I20" i="39"/>
  <c r="C21" i="39"/>
  <c r="D23" i="39"/>
  <c r="J24" i="39"/>
  <c r="C31" i="39"/>
  <c r="C32" i="39"/>
  <c r="D32" i="39"/>
  <c r="D34" i="39"/>
  <c r="C39" i="39"/>
  <c r="C40" i="39"/>
  <c r="D40" i="39"/>
  <c r="D42" i="39"/>
  <c r="C47" i="39"/>
  <c r="C48" i="39"/>
  <c r="D48" i="39"/>
  <c r="D50" i="39"/>
  <c r="K58" i="39"/>
  <c r="C58" i="39"/>
  <c r="K59" i="39"/>
  <c r="C68" i="39"/>
  <c r="I68" i="39"/>
  <c r="K74" i="39"/>
  <c r="C74" i="39"/>
  <c r="D76" i="39"/>
  <c r="C84" i="39"/>
  <c r="I84" i="39"/>
  <c r="K90" i="39"/>
  <c r="C90" i="39"/>
  <c r="K91" i="39"/>
  <c r="N109" i="39"/>
  <c r="S109" i="39"/>
  <c r="C53" i="39"/>
  <c r="J55" i="39"/>
  <c r="C56" i="39"/>
  <c r="I56" i="39"/>
  <c r="I61" i="39"/>
  <c r="K62" i="39"/>
  <c r="J63" i="39"/>
  <c r="C64" i="39"/>
  <c r="I64" i="39"/>
  <c r="I69" i="39"/>
  <c r="K70" i="39"/>
  <c r="J71" i="39"/>
  <c r="C72" i="39"/>
  <c r="I72" i="39"/>
  <c r="K78" i="39"/>
  <c r="J79" i="39"/>
  <c r="C80" i="39"/>
  <c r="I80" i="39"/>
  <c r="K86" i="39"/>
  <c r="J87" i="39"/>
  <c r="C88" i="39"/>
  <c r="I88" i="39"/>
  <c r="K94" i="39"/>
  <c r="J95" i="39"/>
  <c r="C59" i="39"/>
  <c r="D59" i="39"/>
  <c r="C67" i="39"/>
  <c r="D67" i="39"/>
  <c r="C75" i="39"/>
  <c r="D75" i="39"/>
  <c r="C83" i="39"/>
  <c r="D83" i="39"/>
  <c r="C91" i="39"/>
  <c r="D91" i="39"/>
  <c r="C31" i="38"/>
  <c r="C60" i="38"/>
  <c r="I60" i="38"/>
  <c r="K63" i="38"/>
  <c r="C63" i="38"/>
  <c r="C76" i="38"/>
  <c r="J76" i="38"/>
  <c r="I84" i="38"/>
  <c r="D84" i="38"/>
  <c r="K87" i="38"/>
  <c r="C87" i="38"/>
  <c r="C102" i="38"/>
  <c r="I102" i="38"/>
  <c r="K105" i="38"/>
  <c r="C105" i="38"/>
  <c r="C108" i="38"/>
  <c r="J108" i="38"/>
  <c r="C109" i="38"/>
  <c r="J109" i="38"/>
  <c r="I116" i="38"/>
  <c r="D116" i="38"/>
  <c r="K157" i="38"/>
  <c r="D157" i="38"/>
  <c r="E172" i="38"/>
  <c r="C28" i="38"/>
  <c r="J28" i="38"/>
  <c r="C33" i="38"/>
  <c r="C35" i="38"/>
  <c r="K42" i="38"/>
  <c r="I49" i="38"/>
  <c r="J51" i="38"/>
  <c r="C52" i="38"/>
  <c r="I52" i="38"/>
  <c r="I57" i="38"/>
  <c r="K77" i="38"/>
  <c r="K88" i="38"/>
  <c r="C90" i="38"/>
  <c r="I90" i="38"/>
  <c r="J97" i="38"/>
  <c r="J102" i="38"/>
  <c r="K108" i="38"/>
  <c r="K109" i="38"/>
  <c r="K120" i="38"/>
  <c r="I123" i="38"/>
  <c r="C123" i="38"/>
  <c r="D141" i="38"/>
  <c r="I141" i="38"/>
  <c r="K145" i="38"/>
  <c r="D149" i="38"/>
  <c r="I149" i="38"/>
  <c r="C150" i="38"/>
  <c r="I161" i="38"/>
  <c r="D161" i="38"/>
  <c r="C164" i="38"/>
  <c r="C29" i="38"/>
  <c r="I30" i="38"/>
  <c r="K31" i="38"/>
  <c r="K32" i="38"/>
  <c r="I33" i="38"/>
  <c r="D34" i="38"/>
  <c r="K35" i="38"/>
  <c r="J36" i="38"/>
  <c r="K37" i="38"/>
  <c r="C38" i="38"/>
  <c r="C39" i="38"/>
  <c r="D39" i="38"/>
  <c r="J42" i="38"/>
  <c r="K43" i="38"/>
  <c r="J44" i="38"/>
  <c r="K45" i="38"/>
  <c r="C46" i="38"/>
  <c r="C47" i="38"/>
  <c r="D47" i="38"/>
  <c r="J50" i="38"/>
  <c r="K51" i="38"/>
  <c r="J52" i="38"/>
  <c r="K53" i="38"/>
  <c r="C54" i="38"/>
  <c r="C55" i="38"/>
  <c r="D55" i="38"/>
  <c r="I58" i="38"/>
  <c r="D58" i="38"/>
  <c r="C59" i="38"/>
  <c r="K61" i="38"/>
  <c r="C61" i="38"/>
  <c r="C62" i="38"/>
  <c r="I78" i="38"/>
  <c r="C79" i="38"/>
  <c r="D81" i="38"/>
  <c r="C86" i="38"/>
  <c r="I86" i="38"/>
  <c r="J88" i="38"/>
  <c r="D88" i="38"/>
  <c r="K89" i="38"/>
  <c r="C89" i="38"/>
  <c r="C92" i="38"/>
  <c r="J92" i="38"/>
  <c r="C93" i="38"/>
  <c r="J93" i="38"/>
  <c r="D96" i="38"/>
  <c r="C97" i="38"/>
  <c r="I100" i="38"/>
  <c r="D100" i="38"/>
  <c r="C101" i="38"/>
  <c r="K103" i="38"/>
  <c r="C103" i="38"/>
  <c r="C104" i="38"/>
  <c r="I110" i="38"/>
  <c r="D113" i="38"/>
  <c r="C118" i="38"/>
  <c r="I118" i="38"/>
  <c r="J120" i="38"/>
  <c r="D120" i="38"/>
  <c r="K121" i="38"/>
  <c r="C121" i="38"/>
  <c r="C124" i="38"/>
  <c r="J124" i="38"/>
  <c r="C125" i="38"/>
  <c r="J125" i="38"/>
  <c r="D128" i="38"/>
  <c r="D130" i="38"/>
  <c r="C133" i="38"/>
  <c r="J133" i="38"/>
  <c r="C155" i="38"/>
  <c r="I155" i="38"/>
  <c r="C157" i="38"/>
  <c r="K166" i="38"/>
  <c r="C166" i="38"/>
  <c r="C77" i="38"/>
  <c r="J77" i="38"/>
  <c r="K119" i="38"/>
  <c r="C119" i="38"/>
  <c r="J129" i="38"/>
  <c r="C129" i="38"/>
  <c r="I134" i="38"/>
  <c r="C134" i="38"/>
  <c r="K142" i="38"/>
  <c r="C142" i="38"/>
  <c r="C153" i="38"/>
  <c r="J153" i="38"/>
  <c r="C154" i="38"/>
  <c r="J154" i="38"/>
  <c r="C34" i="38"/>
  <c r="J35" i="38"/>
  <c r="C36" i="38"/>
  <c r="I36" i="38"/>
  <c r="I41" i="38"/>
  <c r="J43" i="38"/>
  <c r="C44" i="38"/>
  <c r="I44" i="38"/>
  <c r="K50" i="38"/>
  <c r="J60" i="38"/>
  <c r="D76" i="38"/>
  <c r="I79" i="38"/>
  <c r="I91" i="38"/>
  <c r="C91" i="38"/>
  <c r="I111" i="38"/>
  <c r="C122" i="38"/>
  <c r="I122" i="38"/>
  <c r="D129" i="38"/>
  <c r="I145" i="38"/>
  <c r="D145" i="38"/>
  <c r="K149" i="38"/>
  <c r="C158" i="38"/>
  <c r="I158" i="38"/>
  <c r="C32" i="38"/>
  <c r="C40" i="38"/>
  <c r="I40" i="38"/>
  <c r="I43" i="38"/>
  <c r="C48" i="38"/>
  <c r="I48" i="38"/>
  <c r="I51" i="38"/>
  <c r="C56" i="38"/>
  <c r="I56" i="38"/>
  <c r="J59" i="38"/>
  <c r="C64" i="38"/>
  <c r="I64" i="38"/>
  <c r="I65" i="38"/>
  <c r="C65" i="38"/>
  <c r="D91" i="38"/>
  <c r="D98" i="38"/>
  <c r="J101" i="38"/>
  <c r="C106" i="38"/>
  <c r="I106" i="38"/>
  <c r="I107" i="38"/>
  <c r="C107" i="38"/>
  <c r="D123" i="38"/>
  <c r="K132" i="38"/>
  <c r="C132" i="38"/>
  <c r="J134" i="38"/>
  <c r="I139" i="38"/>
  <c r="C151" i="38"/>
  <c r="I151" i="38"/>
  <c r="D165" i="38"/>
  <c r="I165" i="38"/>
  <c r="D167" i="38"/>
  <c r="J64" i="38"/>
  <c r="K81" i="38"/>
  <c r="I83" i="38"/>
  <c r="J90" i="38"/>
  <c r="K97" i="38"/>
  <c r="I99" i="38"/>
  <c r="J106" i="38"/>
  <c r="K113" i="38"/>
  <c r="I115" i="38"/>
  <c r="J122" i="38"/>
  <c r="K130" i="38"/>
  <c r="I136" i="38"/>
  <c r="C136" i="38"/>
  <c r="C138" i="38"/>
  <c r="J138" i="38"/>
  <c r="D143" i="38"/>
  <c r="I143" i="38"/>
  <c r="K154" i="38"/>
  <c r="I160" i="38"/>
  <c r="C163" i="38"/>
  <c r="I163" i="38"/>
  <c r="J168" i="38"/>
  <c r="K59" i="38"/>
  <c r="I61" i="38"/>
  <c r="K76" i="38"/>
  <c r="D77" i="38"/>
  <c r="J78" i="38"/>
  <c r="C82" i="38"/>
  <c r="K85" i="38"/>
  <c r="I87" i="38"/>
  <c r="D93" i="38"/>
  <c r="J94" i="38"/>
  <c r="C98" i="38"/>
  <c r="K101" i="38"/>
  <c r="I103" i="38"/>
  <c r="D109" i="38"/>
  <c r="J110" i="38"/>
  <c r="C114" i="38"/>
  <c r="K117" i="38"/>
  <c r="I119" i="38"/>
  <c r="D125" i="38"/>
  <c r="K126" i="38"/>
  <c r="D133" i="38"/>
  <c r="K138" i="38"/>
  <c r="K144" i="38"/>
  <c r="D146" i="38"/>
  <c r="C147" i="38"/>
  <c r="K148" i="38"/>
  <c r="D150" i="38"/>
  <c r="J150" i="38"/>
  <c r="D151" i="38"/>
  <c r="C160" i="38"/>
  <c r="J163" i="38"/>
  <c r="C167" i="38"/>
  <c r="I167" i="38"/>
  <c r="I168" i="38"/>
  <c r="C168" i="38"/>
  <c r="D126" i="38"/>
  <c r="J127" i="38"/>
  <c r="J131" i="38"/>
  <c r="C135" i="38"/>
  <c r="I135" i="38"/>
  <c r="C137" i="38"/>
  <c r="D142" i="38"/>
  <c r="I144" i="38"/>
  <c r="J151" i="38"/>
  <c r="I152" i="38"/>
  <c r="C152" i="38"/>
  <c r="K153" i="38"/>
  <c r="I156" i="38"/>
  <c r="J158" i="38"/>
  <c r="D159" i="38"/>
  <c r="D162" i="38"/>
  <c r="I132" i="38"/>
  <c r="D138" i="38"/>
  <c r="J139" i="38"/>
  <c r="C143" i="38"/>
  <c r="K146" i="38"/>
  <c r="I148" i="38"/>
  <c r="D154" i="38"/>
  <c r="J155" i="38"/>
  <c r="C159" i="38"/>
  <c r="K162" i="38"/>
  <c r="I164" i="38"/>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J99" i="13"/>
  <c r="E102" i="13" s="1"/>
  <c r="M107" i="13"/>
  <c r="M103" i="13"/>
  <c r="M105" i="13"/>
  <c r="M106" i="13"/>
  <c r="M104" i="13"/>
  <c r="O105" i="13"/>
  <c r="O103" i="13"/>
  <c r="O104" i="13"/>
  <c r="O107" i="13"/>
  <c r="O106" i="13"/>
  <c r="O108" i="13"/>
  <c r="M109" i="13"/>
  <c r="M108" i="13"/>
  <c r="O109" i="13"/>
  <c r="G96" i="6"/>
  <c r="G30" i="6" s="1"/>
  <c r="G31" i="6" s="1"/>
  <c r="G119" i="2" s="1"/>
  <c r="L119" i="2" s="1"/>
  <c r="G63" i="6"/>
  <c r="G29" i="6" s="1"/>
  <c r="G207" i="2"/>
  <c r="L207" i="2" s="1"/>
  <c r="D88" i="35"/>
  <c r="F43" i="48"/>
  <c r="H237" i="2"/>
  <c r="G155" i="2"/>
  <c r="F37" i="10" l="1"/>
  <c r="F340" i="2" s="1"/>
  <c r="G189" i="2" s="1"/>
  <c r="G193" i="2" s="1"/>
  <c r="G199" i="2" s="1"/>
  <c r="D184" i="38"/>
  <c r="A54" i="6"/>
  <c r="A55" i="6" s="1"/>
  <c r="A56" i="6" s="1"/>
  <c r="A57" i="6" s="1"/>
  <c r="A58" i="6" s="1"/>
  <c r="A59" i="6" s="1"/>
  <c r="A60" i="6" s="1"/>
  <c r="A61" i="6" s="1"/>
  <c r="A62" i="6" s="1"/>
  <c r="A63" i="6" s="1"/>
  <c r="A69"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G89" i="38"/>
  <c r="G48" i="38"/>
  <c r="G166" i="38"/>
  <c r="G136" i="38"/>
  <c r="G130" i="38"/>
  <c r="G72" i="39"/>
  <c r="G68" i="38"/>
  <c r="G118" i="38"/>
  <c r="G132" i="38"/>
  <c r="K110" i="39"/>
  <c r="G35" i="38"/>
  <c r="G26" i="39"/>
  <c r="C197" i="38"/>
  <c r="G62" i="39"/>
  <c r="G37" i="39"/>
  <c r="G60" i="39"/>
  <c r="G174" i="38"/>
  <c r="G160" i="38"/>
  <c r="G79" i="38"/>
  <c r="G108" i="38"/>
  <c r="G84" i="39"/>
  <c r="G170" i="38"/>
  <c r="G80" i="39"/>
  <c r="G194" i="38"/>
  <c r="G50" i="38"/>
  <c r="G171" i="38"/>
  <c r="G98" i="39"/>
  <c r="G21" i="38"/>
  <c r="G119" i="38"/>
  <c r="G129" i="38"/>
  <c r="G43" i="38"/>
  <c r="G30" i="38"/>
  <c r="G106" i="39"/>
  <c r="E95" i="41"/>
  <c r="G74" i="39"/>
  <c r="I110" i="39"/>
  <c r="G105" i="38"/>
  <c r="C110" i="39"/>
  <c r="G137" i="38"/>
  <c r="G121" i="38"/>
  <c r="G59" i="38"/>
  <c r="G42" i="39"/>
  <c r="G86" i="38"/>
  <c r="D103" i="41"/>
  <c r="D105" i="41" s="1"/>
  <c r="G70" i="39"/>
  <c r="G97" i="38"/>
  <c r="G22" i="39"/>
  <c r="G158" i="38"/>
  <c r="G155" i="38"/>
  <c r="G92" i="39"/>
  <c r="G78" i="39"/>
  <c r="G68" i="39"/>
  <c r="E94" i="41"/>
  <c r="G35" i="39"/>
  <c r="G79" i="39"/>
  <c r="G89" i="39"/>
  <c r="G28" i="38"/>
  <c r="G19" i="39"/>
  <c r="G36" i="38"/>
  <c r="G38" i="38"/>
  <c r="G39" i="39"/>
  <c r="G107" i="38"/>
  <c r="A3" i="8"/>
  <c r="G82" i="38"/>
  <c r="G134" i="38"/>
  <c r="G52" i="38"/>
  <c r="G165" i="38"/>
  <c r="G60" i="38"/>
  <c r="G84" i="38"/>
  <c r="G54" i="38"/>
  <c r="G146" i="38"/>
  <c r="G162" i="38"/>
  <c r="G90" i="38"/>
  <c r="J197" i="38"/>
  <c r="A181" i="38"/>
  <c r="G48" i="39"/>
  <c r="G32" i="39"/>
  <c r="G51" i="38"/>
  <c r="G112" i="38"/>
  <c r="G124" i="38"/>
  <c r="G110" i="38"/>
  <c r="G48" i="20"/>
  <c r="G76" i="38"/>
  <c r="G109" i="38"/>
  <c r="G93" i="38"/>
  <c r="G152" i="38"/>
  <c r="G47" i="38"/>
  <c r="G46" i="38"/>
  <c r="G117" i="38"/>
  <c r="G55" i="39"/>
  <c r="G122" i="38"/>
  <c r="G157" i="38"/>
  <c r="G62" i="38"/>
  <c r="G164" i="38"/>
  <c r="G44" i="38"/>
  <c r="G116" i="38"/>
  <c r="G125" i="38"/>
  <c r="G139" i="38"/>
  <c r="G87" i="38"/>
  <c r="G138" i="38"/>
  <c r="K184" i="38"/>
  <c r="G156" i="38"/>
  <c r="J184" i="38"/>
  <c r="G66" i="39"/>
  <c r="G41" i="39"/>
  <c r="G28" i="39"/>
  <c r="G64" i="38"/>
  <c r="G92" i="38"/>
  <c r="G38" i="39"/>
  <c r="G87" i="39"/>
  <c r="G86" i="39"/>
  <c r="G61" i="39"/>
  <c r="G142" i="38"/>
  <c r="G88" i="38"/>
  <c r="C72" i="38"/>
  <c r="G53" i="39"/>
  <c r="G20" i="39"/>
  <c r="G50" i="39"/>
  <c r="G153" i="38"/>
  <c r="G64" i="39"/>
  <c r="G20" i="38"/>
  <c r="I72" i="38"/>
  <c r="E71" i="38"/>
  <c r="G127" i="38"/>
  <c r="G169" i="38"/>
  <c r="G195" i="38"/>
  <c r="D35" i="5"/>
  <c r="A184" i="38"/>
  <c r="G151" i="38"/>
  <c r="G104" i="38"/>
  <c r="G33" i="39"/>
  <c r="G61" i="38"/>
  <c r="G67" i="38"/>
  <c r="F177" i="38"/>
  <c r="F183" i="38" s="1"/>
  <c r="G23" i="39"/>
  <c r="G46" i="39"/>
  <c r="G94" i="39"/>
  <c r="G96" i="39"/>
  <c r="G100" i="39"/>
  <c r="G77" i="38"/>
  <c r="G34" i="38"/>
  <c r="G53" i="38"/>
  <c r="G115" i="38"/>
  <c r="G63" i="38"/>
  <c r="J72" i="38"/>
  <c r="G95" i="38"/>
  <c r="G180" i="38"/>
  <c r="G44" i="39"/>
  <c r="G97" i="39"/>
  <c r="G98" i="38"/>
  <c r="G101" i="38"/>
  <c r="G150" i="38"/>
  <c r="O33" i="21"/>
  <c r="G209" i="2" s="1"/>
  <c r="G49" i="38"/>
  <c r="E89" i="41"/>
  <c r="G88" i="39"/>
  <c r="G93" i="39"/>
  <c r="G33" i="38"/>
  <c r="G37" i="38"/>
  <c r="G57" i="38"/>
  <c r="G17" i="39"/>
  <c r="E23" i="38"/>
  <c r="G102" i="39"/>
  <c r="G113" i="38"/>
  <c r="G31" i="39"/>
  <c r="G29" i="38"/>
  <c r="G78" i="38"/>
  <c r="G126" i="38"/>
  <c r="G168" i="38"/>
  <c r="G173" i="38"/>
  <c r="G45" i="39"/>
  <c r="G54" i="39"/>
  <c r="G63" i="39"/>
  <c r="G85" i="39"/>
  <c r="G99" i="39"/>
  <c r="C103" i="41"/>
  <c r="C105" i="41" s="1"/>
  <c r="F71" i="38"/>
  <c r="G163" i="38"/>
  <c r="K177" i="38"/>
  <c r="K183" i="38" s="1"/>
  <c r="G58" i="39"/>
  <c r="G36" i="39"/>
  <c r="G57" i="39"/>
  <c r="G143" i="38"/>
  <c r="G102" i="38"/>
  <c r="G82" i="39"/>
  <c r="G40" i="38"/>
  <c r="J110" i="39"/>
  <c r="G133" i="38"/>
  <c r="G149" i="38"/>
  <c r="G34" i="39"/>
  <c r="G49" i="39"/>
  <c r="G144" i="38"/>
  <c r="D197" i="38"/>
  <c r="G90" i="39"/>
  <c r="D72" i="38"/>
  <c r="G66" i="38"/>
  <c r="C104" i="41"/>
  <c r="E177" i="38"/>
  <c r="E183" i="38" s="1"/>
  <c r="G159" i="38"/>
  <c r="G135" i="38"/>
  <c r="G31" i="38"/>
  <c r="G85" i="38"/>
  <c r="G56" i="38"/>
  <c r="G91" i="39"/>
  <c r="G56" i="39"/>
  <c r="G94" i="38"/>
  <c r="G111" i="38"/>
  <c r="G131" i="38"/>
  <c r="G25" i="39"/>
  <c r="G95" i="39"/>
  <c r="G76" i="39"/>
  <c r="C47" i="13"/>
  <c r="B15" i="2"/>
  <c r="B18" i="2" s="1"/>
  <c r="B20" i="2" s="1"/>
  <c r="B27" i="2" s="1"/>
  <c r="B29" i="2" s="1"/>
  <c r="B30" i="2" s="1"/>
  <c r="E31" i="2" s="1"/>
  <c r="C47" i="20"/>
  <c r="K72" i="38"/>
  <c r="G104" i="39"/>
  <c r="E109" i="39"/>
  <c r="J71" i="38"/>
  <c r="E22" i="20"/>
  <c r="E22" i="13"/>
  <c r="E69" i="2"/>
  <c r="A29" i="35"/>
  <c r="A30" i="35" s="1"/>
  <c r="A31" i="35" s="1"/>
  <c r="A32" i="35" s="1"/>
  <c r="A33" i="35" s="1"/>
  <c r="A34" i="35" s="1"/>
  <c r="A35" i="35" s="1"/>
  <c r="A36" i="35" s="1"/>
  <c r="A37" i="35" s="1"/>
  <c r="A38" i="35" s="1"/>
  <c r="A39" i="35" s="1"/>
  <c r="A40" i="35" s="1"/>
  <c r="A41" i="35" s="1"/>
  <c r="A42" i="35" s="1"/>
  <c r="E84" i="2" s="1"/>
  <c r="S22" i="21"/>
  <c r="F80" i="35"/>
  <c r="G108" i="2" s="1"/>
  <c r="L108" i="2" s="1"/>
  <c r="G42" i="38"/>
  <c r="G58" i="38"/>
  <c r="G83" i="38"/>
  <c r="G103" i="38"/>
  <c r="G106" i="38"/>
  <c r="G161" i="38"/>
  <c r="G51" i="39"/>
  <c r="G107" i="39"/>
  <c r="G154" i="38"/>
  <c r="G40" i="39"/>
  <c r="E106" i="2"/>
  <c r="F102" i="13"/>
  <c r="G102" i="13" s="1"/>
  <c r="I184" i="38"/>
  <c r="G91" i="38"/>
  <c r="G128" i="38"/>
  <c r="K71" i="38"/>
  <c r="G75" i="39"/>
  <c r="G47" i="39"/>
  <c r="G27" i="39"/>
  <c r="D71" i="38"/>
  <c r="G45" i="38"/>
  <c r="G80" i="38"/>
  <c r="I177" i="38"/>
  <c r="I183" i="38" s="1"/>
  <c r="G114" i="38"/>
  <c r="G145" i="38"/>
  <c r="I197" i="38"/>
  <c r="K197" i="38"/>
  <c r="D109" i="39"/>
  <c r="I109" i="39"/>
  <c r="G65" i="39"/>
  <c r="G71" i="39"/>
  <c r="G105" i="39"/>
  <c r="G167" i="38"/>
  <c r="G39" i="38"/>
  <c r="C184" i="38"/>
  <c r="G32" i="38"/>
  <c r="G172" i="38"/>
  <c r="G83" i="39"/>
  <c r="G67" i="39"/>
  <c r="M90" i="13"/>
  <c r="N21" i="13" s="1"/>
  <c r="G65" i="38"/>
  <c r="G99" i="38"/>
  <c r="G140" i="38"/>
  <c r="G141" i="38"/>
  <c r="G148" i="38"/>
  <c r="G181" i="38"/>
  <c r="G18" i="39"/>
  <c r="G24" i="39"/>
  <c r="G43" i="39"/>
  <c r="G52" i="39"/>
  <c r="G69" i="39"/>
  <c r="G73" i="39"/>
  <c r="P107" i="13"/>
  <c r="S27" i="21"/>
  <c r="S17" i="21"/>
  <c r="P150" i="13"/>
  <c r="P148" i="13"/>
  <c r="P144" i="13"/>
  <c r="P140" i="13"/>
  <c r="P138" i="13"/>
  <c r="P134" i="13"/>
  <c r="P128" i="13"/>
  <c r="P124" i="13"/>
  <c r="P122" i="13"/>
  <c r="P116" i="13"/>
  <c r="P114" i="13"/>
  <c r="P112" i="13"/>
  <c r="P110" i="13"/>
  <c r="P105" i="13"/>
  <c r="I185" i="20"/>
  <c r="I274" i="20" s="1"/>
  <c r="I363" i="20" s="1"/>
  <c r="I452" i="20" s="1"/>
  <c r="I541" i="20" s="1"/>
  <c r="I630" i="20" s="1"/>
  <c r="I719" i="20" s="1"/>
  <c r="I808" i="20" s="1"/>
  <c r="I897" i="20" s="1"/>
  <c r="I986" i="20" s="1"/>
  <c r="I1075" i="20" s="1"/>
  <c r="I1165" i="20" s="1"/>
  <c r="I1254" i="20" s="1"/>
  <c r="I1343" i="20" s="1"/>
  <c r="I1432" i="20" s="1"/>
  <c r="P106" i="13"/>
  <c r="P108" i="13"/>
  <c r="P103" i="13"/>
  <c r="P161" i="13"/>
  <c r="P159" i="13"/>
  <c r="P157" i="13"/>
  <c r="P153" i="13"/>
  <c r="P149" i="13"/>
  <c r="P145" i="13"/>
  <c r="P143" i="13"/>
  <c r="P135" i="13"/>
  <c r="P133" i="13"/>
  <c r="P131" i="13"/>
  <c r="P129" i="13"/>
  <c r="P127" i="13"/>
  <c r="P119" i="13"/>
  <c r="P111" i="13"/>
  <c r="G22" i="41"/>
  <c r="L236" i="2"/>
  <c r="H238" i="2"/>
  <c r="E64" i="41"/>
  <c r="G153" i="2"/>
  <c r="G177" i="2"/>
  <c r="G13" i="41"/>
  <c r="G239" i="2"/>
  <c r="L237" i="2"/>
  <c r="I19" i="6"/>
  <c r="G115" i="2" s="1"/>
  <c r="H31" i="41"/>
  <c r="C74" i="41"/>
  <c r="E50" i="41" s="1"/>
  <c r="F47" i="48"/>
  <c r="I47" i="48"/>
  <c r="L238" i="2"/>
  <c r="G20" i="41"/>
  <c r="E67" i="41"/>
  <c r="H235" i="2"/>
  <c r="P147" i="13"/>
  <c r="P141" i="13"/>
  <c r="P115" i="13"/>
  <c r="P102" i="13"/>
  <c r="E20" i="48"/>
  <c r="P104" i="13"/>
  <c r="P160" i="13"/>
  <c r="P158" i="13"/>
  <c r="P156" i="13"/>
  <c r="P136" i="13"/>
  <c r="P126" i="13"/>
  <c r="G18" i="41"/>
  <c r="E65" i="41"/>
  <c r="E251" i="2"/>
  <c r="E248" i="2"/>
  <c r="E250" i="2"/>
  <c r="A29" i="41"/>
  <c r="A30" i="41" s="1"/>
  <c r="A31" i="41" s="1"/>
  <c r="A32" i="41" s="1"/>
  <c r="A33" i="41" s="1"/>
  <c r="A34" i="41" s="1"/>
  <c r="A35" i="41" s="1"/>
  <c r="A36" i="41" s="1"/>
  <c r="A37" i="41" s="1"/>
  <c r="A38" i="41" s="1"/>
  <c r="A39" i="41" s="1"/>
  <c r="A40" i="41" s="1"/>
  <c r="A41" i="41" s="1"/>
  <c r="A42" i="41" s="1"/>
  <c r="E249" i="2"/>
  <c r="A34" i="5"/>
  <c r="A35" i="5" s="1"/>
  <c r="A36" i="5" s="1"/>
  <c r="A39" i="5" s="1"/>
  <c r="A41" i="5" s="1"/>
  <c r="E183" i="2"/>
  <c r="A47" i="11"/>
  <c r="E181" i="2"/>
  <c r="E185" i="2"/>
  <c r="E184" i="2"/>
  <c r="D28" i="5"/>
  <c r="A23" i="7"/>
  <c r="B23" i="7"/>
  <c r="B28" i="48"/>
  <c r="A28" i="48"/>
  <c r="A37" i="48" s="1"/>
  <c r="E71" i="2"/>
  <c r="E70" i="2"/>
  <c r="E73" i="2"/>
  <c r="E67" i="2"/>
  <c r="E72" i="2"/>
  <c r="E66" i="2"/>
  <c r="E74" i="2"/>
  <c r="G81" i="38"/>
  <c r="C177" i="38"/>
  <c r="C183" i="38" s="1"/>
  <c r="G29" i="39"/>
  <c r="J109" i="39"/>
  <c r="E146" i="2"/>
  <c r="A36" i="9"/>
  <c r="A37" i="9" s="1"/>
  <c r="A38" i="9" s="1"/>
  <c r="A39" i="9" s="1"/>
  <c r="A40" i="9" s="1"/>
  <c r="A41" i="9" s="1"/>
  <c r="E100" i="41"/>
  <c r="D101" i="41"/>
  <c r="E108" i="2"/>
  <c r="N90" i="13"/>
  <c r="O21" i="13" s="1"/>
  <c r="G123" i="38"/>
  <c r="G59" i="39"/>
  <c r="K109" i="39"/>
  <c r="I71" i="38"/>
  <c r="G41" i="38"/>
  <c r="G120" i="38"/>
  <c r="G103" i="39"/>
  <c r="F109" i="39"/>
  <c r="D20" i="5"/>
  <c r="G21" i="39"/>
  <c r="C109" i="39"/>
  <c r="D110" i="39"/>
  <c r="G77" i="39"/>
  <c r="D23" i="38"/>
  <c r="G17" i="38"/>
  <c r="G96" i="38"/>
  <c r="G30" i="39"/>
  <c r="P109" i="13"/>
  <c r="M91" i="13"/>
  <c r="N91" i="13"/>
  <c r="G147" i="38"/>
  <c r="D177" i="38"/>
  <c r="D183" i="38" s="1"/>
  <c r="G55" i="38"/>
  <c r="J177" i="38"/>
  <c r="J183" i="38" s="1"/>
  <c r="C71" i="38"/>
  <c r="F23" i="38"/>
  <c r="G19" i="38"/>
  <c r="G100" i="38"/>
  <c r="P155" i="13"/>
  <c r="P142" i="13"/>
  <c r="P132" i="13"/>
  <c r="P130" i="13"/>
  <c r="P125" i="13"/>
  <c r="P123" i="13"/>
  <c r="P121" i="13"/>
  <c r="P113" i="13"/>
  <c r="G101" i="39"/>
  <c r="P154" i="13"/>
  <c r="P152" i="13"/>
  <c r="P146" i="13"/>
  <c r="P139" i="13"/>
  <c r="P137" i="13"/>
  <c r="P120" i="13"/>
  <c r="P118" i="13"/>
  <c r="G81" i="39"/>
  <c r="E88" i="41"/>
  <c r="G19" i="41"/>
  <c r="I17" i="6"/>
  <c r="G114" i="2" s="1"/>
  <c r="I43" i="48"/>
  <c r="G16" i="41"/>
  <c r="F85" i="35"/>
  <c r="F88" i="35" s="1"/>
  <c r="G110" i="2" s="1"/>
  <c r="K41" i="48"/>
  <c r="G145" i="2"/>
  <c r="G15" i="41"/>
  <c r="G21" i="41"/>
  <c r="I18" i="5"/>
  <c r="H43" i="48"/>
  <c r="H47" i="48"/>
  <c r="D47" i="48"/>
  <c r="D43" i="48"/>
  <c r="K45" i="48"/>
  <c r="G47" i="48"/>
  <c r="C21" i="7"/>
  <c r="C23" i="7" s="1"/>
  <c r="G123" i="2" s="1"/>
  <c r="L123" i="2" s="1"/>
  <c r="J47" i="48"/>
  <c r="J43" i="48"/>
  <c r="L248" i="2"/>
  <c r="G10" i="41"/>
  <c r="L250" i="2"/>
  <c r="G11" i="41"/>
  <c r="I27" i="8"/>
  <c r="I31" i="8" s="1"/>
  <c r="H234" i="2"/>
  <c r="F239" i="2"/>
  <c r="L234" i="2"/>
  <c r="K37" i="48"/>
  <c r="G43" i="48"/>
  <c r="P151" i="13"/>
  <c r="P117" i="13"/>
  <c r="L251" i="2"/>
  <c r="G12" i="41"/>
  <c r="D74" i="41"/>
  <c r="E66" i="41"/>
  <c r="F73" i="41"/>
  <c r="G23" i="41" l="1"/>
  <c r="H42" i="41"/>
  <c r="G255" i="2" s="1"/>
  <c r="G197" i="38"/>
  <c r="E79" i="2"/>
  <c r="G110" i="39"/>
  <c r="G184" i="38"/>
  <c r="D33" i="2"/>
  <c r="B31" i="2"/>
  <c r="B33" i="2" s="1"/>
  <c r="B34" i="2" s="1"/>
  <c r="C70" i="13" s="1"/>
  <c r="E20" i="2"/>
  <c r="E103" i="41"/>
  <c r="L246" i="2" s="1"/>
  <c r="G72" i="38"/>
  <c r="D34" i="5"/>
  <c r="A186" i="38"/>
  <c r="A188" i="38" s="1"/>
  <c r="A190" i="38" s="1"/>
  <c r="A192" i="38" s="1"/>
  <c r="A193" i="38" s="1"/>
  <c r="A194" i="38" s="1"/>
  <c r="A195" i="38" s="1"/>
  <c r="A196" i="38" s="1"/>
  <c r="A197" i="38" s="1"/>
  <c r="D52" i="5" s="1"/>
  <c r="A49" i="35"/>
  <c r="A50" i="35" s="1"/>
  <c r="A51" i="35" s="1"/>
  <c r="A52" i="35" s="1"/>
  <c r="A53" i="35" s="1"/>
  <c r="A54" i="35" s="1"/>
  <c r="A55" i="35" s="1"/>
  <c r="A56" i="35" s="1"/>
  <c r="A57" i="35" s="1"/>
  <c r="A58" i="35" s="1"/>
  <c r="A59" i="35" s="1"/>
  <c r="A60" i="35" s="1"/>
  <c r="A61" i="35" s="1"/>
  <c r="A62" i="35" s="1"/>
  <c r="D227" i="2" s="1"/>
  <c r="E78" i="2"/>
  <c r="E81" i="2"/>
  <c r="E83" i="2"/>
  <c r="E86" i="2"/>
  <c r="E80" i="2"/>
  <c r="E82" i="2"/>
  <c r="E85" i="2"/>
  <c r="G200" i="2"/>
  <c r="G201" i="2"/>
  <c r="L201" i="2"/>
  <c r="F39" i="20" s="1"/>
  <c r="L200" i="2"/>
  <c r="F38" i="20" s="1"/>
  <c r="D103" i="13"/>
  <c r="E103" i="13" s="1"/>
  <c r="F103" i="13" s="1"/>
  <c r="D104" i="13" s="1"/>
  <c r="G177" i="38"/>
  <c r="G183" i="38" s="1"/>
  <c r="S33" i="21"/>
  <c r="L209" i="2" s="1"/>
  <c r="H239" i="2"/>
  <c r="E76" i="41"/>
  <c r="O90" i="13"/>
  <c r="L252" i="2"/>
  <c r="G257" i="2" s="1"/>
  <c r="G71" i="38"/>
  <c r="D104" i="41"/>
  <c r="E101" i="41"/>
  <c r="E104" i="41" s="1"/>
  <c r="A39" i="48"/>
  <c r="A41" i="48" s="1"/>
  <c r="A48" i="41"/>
  <c r="A49" i="41" s="1"/>
  <c r="N92" i="13"/>
  <c r="O91" i="13"/>
  <c r="O22" i="13"/>
  <c r="O23" i="13" s="1"/>
  <c r="D36" i="5"/>
  <c r="M92" i="13"/>
  <c r="N22" i="13"/>
  <c r="N23" i="13" s="1"/>
  <c r="G23" i="38"/>
  <c r="E161" i="2"/>
  <c r="A44" i="9"/>
  <c r="A45" i="9" s="1"/>
  <c r="A46" i="9" s="1"/>
  <c r="A47" i="9" s="1"/>
  <c r="A48" i="9" s="1"/>
  <c r="A49" i="9" s="1"/>
  <c r="A50" i="9" s="1"/>
  <c r="A51" i="9" s="1"/>
  <c r="A52" i="9" s="1"/>
  <c r="A53" i="9" s="1"/>
  <c r="A54" i="9" s="1"/>
  <c r="A55" i="9" s="1"/>
  <c r="A56" i="9" s="1"/>
  <c r="A57" i="9" s="1"/>
  <c r="A58" i="9" s="1"/>
  <c r="A59" i="9" s="1"/>
  <c r="A61" i="9" s="1"/>
  <c r="A42" i="5"/>
  <c r="A43" i="5" s="1"/>
  <c r="A44" i="5" s="1"/>
  <c r="A47" i="5" s="1"/>
  <c r="A49" i="5" s="1"/>
  <c r="K43" i="48"/>
  <c r="G109" i="39"/>
  <c r="A49" i="11"/>
  <c r="A50" i="11" s="1"/>
  <c r="K47" i="48"/>
  <c r="P21" i="13"/>
  <c r="G258" i="2" l="1"/>
  <c r="H255" i="2" s="1"/>
  <c r="D21" i="20" s="1"/>
  <c r="D228" i="2"/>
  <c r="C50" i="11"/>
  <c r="C70" i="20"/>
  <c r="D36" i="2"/>
  <c r="B36" i="2"/>
  <c r="B37" i="2" s="1"/>
  <c r="B39" i="2" s="1"/>
  <c r="B42" i="2" s="1"/>
  <c r="B44" i="2" s="1"/>
  <c r="E38" i="13"/>
  <c r="E105" i="41"/>
  <c r="B43" i="48"/>
  <c r="E153" i="2"/>
  <c r="E39" i="13"/>
  <c r="O92" i="13"/>
  <c r="A64" i="9"/>
  <c r="A65" i="9" s="1"/>
  <c r="A66" i="9" s="1"/>
  <c r="E162" i="2"/>
  <c r="A51" i="11"/>
  <c r="A52" i="11" s="1"/>
  <c r="P22" i="13"/>
  <c r="P23" i="13" s="1"/>
  <c r="A50" i="41"/>
  <c r="A51" i="41" s="1"/>
  <c r="A52" i="41" s="1"/>
  <c r="A53" i="41" s="1"/>
  <c r="A54" i="41" s="1"/>
  <c r="A55" i="41" s="1"/>
  <c r="A56" i="41" s="1"/>
  <c r="D44" i="5"/>
  <c r="A43" i="48"/>
  <c r="E154" i="2"/>
  <c r="A50" i="5"/>
  <c r="A51" i="5" s="1"/>
  <c r="A52" i="5" s="1"/>
  <c r="E104" i="13"/>
  <c r="F104" i="13" s="1"/>
  <c r="G103" i="13"/>
  <c r="A67" i="9" l="1"/>
  <c r="A68" i="9" s="1"/>
  <c r="A69" i="9" s="1"/>
  <c r="A70" i="9" s="1"/>
  <c r="A72" i="9" s="1"/>
  <c r="E163" i="2" s="1"/>
  <c r="E77" i="41"/>
  <c r="E79" i="41" s="1"/>
  <c r="E80" i="41" s="1"/>
  <c r="E51" i="41" s="1"/>
  <c r="E56" i="41" s="1"/>
  <c r="L245" i="2" s="1"/>
  <c r="D21" i="13"/>
  <c r="H257" i="2"/>
  <c r="D23" i="13" s="1"/>
  <c r="F23" i="13" s="1"/>
  <c r="H256" i="2"/>
  <c r="L256" i="2" s="1"/>
  <c r="C52" i="11"/>
  <c r="B24" i="2"/>
  <c r="B58" i="41"/>
  <c r="E245" i="2"/>
  <c r="A58" i="41"/>
  <c r="D51" i="5"/>
  <c r="A45" i="48"/>
  <c r="B47" i="48" s="1"/>
  <c r="B56" i="41"/>
  <c r="A53" i="11"/>
  <c r="A54" i="11" s="1"/>
  <c r="B45" i="2"/>
  <c r="D105" i="13"/>
  <c r="G104" i="13"/>
  <c r="E58" i="41" l="1"/>
  <c r="J255" i="2" s="1"/>
  <c r="L255" i="2" s="1"/>
  <c r="D22" i="13"/>
  <c r="F22" i="13" s="1"/>
  <c r="L257" i="2"/>
  <c r="I257" i="2"/>
  <c r="D23" i="20"/>
  <c r="F23" i="20" s="1"/>
  <c r="D22" i="20"/>
  <c r="F22" i="20" s="1"/>
  <c r="I256" i="2"/>
  <c r="C54" i="11"/>
  <c r="B46" i="2"/>
  <c r="D303" i="2" s="1"/>
  <c r="A47" i="48"/>
  <c r="C21" i="48" s="1"/>
  <c r="E155" i="2"/>
  <c r="A61" i="41"/>
  <c r="D255" i="2"/>
  <c r="C55" i="11"/>
  <c r="A55" i="11"/>
  <c r="E105" i="13"/>
  <c r="I255" i="2" l="1"/>
  <c r="L258" i="2"/>
  <c r="G190" i="2" s="1"/>
  <c r="E35" i="13" s="1"/>
  <c r="E21" i="20"/>
  <c r="F21" i="20" s="1"/>
  <c r="F24" i="20" s="1"/>
  <c r="F29" i="20" s="1"/>
  <c r="E21" i="13"/>
  <c r="F21" i="13" s="1"/>
  <c r="F24" i="13" s="1"/>
  <c r="E29" i="13" s="1"/>
  <c r="A56" i="11"/>
  <c r="C56" i="11"/>
  <c r="A64" i="41"/>
  <c r="D63" i="41"/>
  <c r="B48" i="2"/>
  <c r="B66" i="2" s="1"/>
  <c r="E48" i="2"/>
  <c r="F105" i="13"/>
  <c r="F35" i="20" l="1"/>
  <c r="G211" i="2"/>
  <c r="L211" i="2"/>
  <c r="B67" i="2"/>
  <c r="B68" i="2" s="1"/>
  <c r="A57" i="11"/>
  <c r="C57" i="11"/>
  <c r="A65" i="41"/>
  <c r="A66" i="41" s="1"/>
  <c r="A67" i="41" s="1"/>
  <c r="A68" i="41" s="1"/>
  <c r="A69" i="41" s="1"/>
  <c r="A70" i="41" s="1"/>
  <c r="A71" i="41" s="1"/>
  <c r="A72" i="41" s="1"/>
  <c r="A73" i="41" s="1"/>
  <c r="A74" i="41" s="1"/>
  <c r="D106" i="13"/>
  <c r="G105" i="13"/>
  <c r="A58" i="11" l="1"/>
  <c r="A60" i="11" s="1"/>
  <c r="C58" i="11"/>
  <c r="B76" i="41"/>
  <c r="A76" i="41"/>
  <c r="B50" i="41"/>
  <c r="C75" i="13"/>
  <c r="E226" i="2"/>
  <c r="B69" i="2"/>
  <c r="B70" i="2" s="1"/>
  <c r="C75" i="20"/>
  <c r="E106" i="13"/>
  <c r="B71" i="2" l="1"/>
  <c r="B72" i="2" s="1"/>
  <c r="A77" i="41"/>
  <c r="A78" i="41" s="1"/>
  <c r="A79" i="41" s="1"/>
  <c r="A80" i="41" s="1"/>
  <c r="A61" i="11"/>
  <c r="C61" i="11"/>
  <c r="F106" i="13"/>
  <c r="B80" i="41" l="1"/>
  <c r="A85" i="41"/>
  <c r="B51" i="41"/>
  <c r="B73" i="2"/>
  <c r="B74" i="2" s="1"/>
  <c r="A62" i="11"/>
  <c r="A63" i="11" s="1"/>
  <c r="D107" i="13"/>
  <c r="G106" i="13"/>
  <c r="B75" i="2" l="1"/>
  <c r="B77" i="2" s="1"/>
  <c r="B78" i="2" s="1"/>
  <c r="E75" i="2"/>
  <c r="A64" i="11"/>
  <c r="A65" i="11" s="1"/>
  <c r="C63" i="11"/>
  <c r="A86" i="41"/>
  <c r="E107" i="13"/>
  <c r="F107" i="13" s="1"/>
  <c r="A87" i="41" l="1"/>
  <c r="A88" i="41" s="1"/>
  <c r="A66" i="11"/>
  <c r="C66" i="11"/>
  <c r="C65" i="11"/>
  <c r="B79" i="2"/>
  <c r="B80" i="2" s="1"/>
  <c r="D108" i="13"/>
  <c r="G107" i="13"/>
  <c r="E90" i="2" l="1"/>
  <c r="B88" i="41"/>
  <c r="C67" i="11"/>
  <c r="A67" i="11"/>
  <c r="B81" i="2"/>
  <c r="B82" i="2" s="1"/>
  <c r="A89" i="41"/>
  <c r="B89" i="41"/>
  <c r="E108" i="13"/>
  <c r="F108" i="13" s="1"/>
  <c r="E91" i="2" l="1"/>
  <c r="B83" i="2"/>
  <c r="B84" i="2" s="1"/>
  <c r="A91" i="41"/>
  <c r="A68" i="11"/>
  <c r="C68" i="11"/>
  <c r="D109" i="13"/>
  <c r="G108" i="13"/>
  <c r="E92" i="2" l="1"/>
  <c r="A92" i="41"/>
  <c r="A69" i="11"/>
  <c r="A71" i="11" s="1"/>
  <c r="C69" i="11"/>
  <c r="B85" i="2"/>
  <c r="B86" i="2" s="1"/>
  <c r="E109" i="13"/>
  <c r="F109" i="13" s="1"/>
  <c r="E93" i="2" l="1"/>
  <c r="B87" i="2"/>
  <c r="B89" i="2" s="1"/>
  <c r="B90" i="2" s="1"/>
  <c r="E94" i="2"/>
  <c r="E87" i="2"/>
  <c r="A93" i="41"/>
  <c r="A94" i="41" s="1"/>
  <c r="D110" i="13"/>
  <c r="G109" i="13"/>
  <c r="B94" i="41" l="1"/>
  <c r="A95" i="41"/>
  <c r="B95" i="41"/>
  <c r="B91" i="2"/>
  <c r="E110" i="13"/>
  <c r="F110" i="13" s="1"/>
  <c r="A97" i="41" l="1"/>
  <c r="C64" i="13"/>
  <c r="C64" i="20"/>
  <c r="B92" i="2"/>
  <c r="B93" i="2" s="1"/>
  <c r="B94" i="2" s="1"/>
  <c r="D111" i="13"/>
  <c r="G110" i="13"/>
  <c r="B95" i="2" l="1"/>
  <c r="E95" i="2"/>
  <c r="A98" i="41"/>
  <c r="E111" i="13"/>
  <c r="F111" i="13" s="1"/>
  <c r="D112" i="13" s="1"/>
  <c r="A99" i="41" l="1"/>
  <c r="A100" i="41" s="1"/>
  <c r="B98" i="2"/>
  <c r="B99" i="2" s="1"/>
  <c r="C47" i="11"/>
  <c r="E112" i="13"/>
  <c r="F112" i="13" s="1"/>
  <c r="G111" i="13"/>
  <c r="B100" i="41" l="1"/>
  <c r="B100" i="2"/>
  <c r="B101" i="2" s="1"/>
  <c r="B102" i="2" s="1"/>
  <c r="B103" i="2" s="1"/>
  <c r="B104" i="2" s="1"/>
  <c r="A101" i="41"/>
  <c r="B103" i="41"/>
  <c r="B101" i="41"/>
  <c r="D113" i="13"/>
  <c r="G112" i="13"/>
  <c r="A103" i="41" l="1"/>
  <c r="B104" i="41"/>
  <c r="B106" i="2"/>
  <c r="B108" i="2" s="1"/>
  <c r="B110" i="2" s="1"/>
  <c r="B112" i="2" s="1"/>
  <c r="B113" i="2" s="1"/>
  <c r="E104" i="2"/>
  <c r="E113" i="13"/>
  <c r="F113" i="13" s="1"/>
  <c r="B114" i="2" l="1"/>
  <c r="B115" i="2" s="1"/>
  <c r="B116" i="2" s="1"/>
  <c r="B117" i="2" s="1"/>
  <c r="B118" i="2" s="1"/>
  <c r="B119" i="2" s="1"/>
  <c r="B120" i="2" s="1"/>
  <c r="B121" i="2" s="1"/>
  <c r="A104" i="41"/>
  <c r="E246" i="2"/>
  <c r="D114" i="13"/>
  <c r="G113" i="13"/>
  <c r="E121" i="2" l="1"/>
  <c r="A105" i="41"/>
  <c r="B105" i="41"/>
  <c r="B123" i="2"/>
  <c r="E114" i="13"/>
  <c r="F114" i="13" s="1"/>
  <c r="D115" i="13" s="1"/>
  <c r="D299" i="2" l="1"/>
  <c r="B125" i="2"/>
  <c r="D125" i="2"/>
  <c r="E115" i="13"/>
  <c r="F115" i="13" s="1"/>
  <c r="G114" i="13"/>
  <c r="C28" i="13" l="1"/>
  <c r="C28" i="20"/>
  <c r="B140" i="2"/>
  <c r="D116" i="13"/>
  <c r="G115" i="13"/>
  <c r="B141" i="2" l="1"/>
  <c r="B142" i="2" s="1"/>
  <c r="B143" i="2" s="1"/>
  <c r="B144" i="2" s="1"/>
  <c r="E116" i="13"/>
  <c r="F116" i="13" s="1"/>
  <c r="B145" i="2" l="1"/>
  <c r="B146" i="2" s="1"/>
  <c r="E145" i="2"/>
  <c r="D117" i="13"/>
  <c r="G116" i="13"/>
  <c r="E44" i="2" l="1"/>
  <c r="B147" i="2"/>
  <c r="B148" i="2" s="1"/>
  <c r="D294" i="2"/>
  <c r="E117" i="13"/>
  <c r="F117" i="13" s="1"/>
  <c r="D118" i="13" s="1"/>
  <c r="E149" i="2" l="1"/>
  <c r="B149" i="2"/>
  <c r="D296" i="2"/>
  <c r="E118" i="13"/>
  <c r="F118" i="13" s="1"/>
  <c r="G117" i="13"/>
  <c r="B151" i="2" l="1"/>
  <c r="E113" i="2"/>
  <c r="D293" i="2"/>
  <c r="D119" i="13"/>
  <c r="G118" i="13"/>
  <c r="B152" i="2" l="1"/>
  <c r="E119" i="13"/>
  <c r="F119" i="13" s="1"/>
  <c r="D120" i="13" l="1"/>
  <c r="E120" i="13" s="1"/>
  <c r="F120" i="13" s="1"/>
  <c r="D121" i="13" s="1"/>
  <c r="G119" i="13"/>
  <c r="B153" i="2"/>
  <c r="B154" i="2" s="1"/>
  <c r="B155" i="2" s="1"/>
  <c r="B156" i="2" s="1"/>
  <c r="B157" i="2" s="1"/>
  <c r="B158" i="2" s="1"/>
  <c r="E160" i="2"/>
  <c r="G120" i="13" l="1"/>
  <c r="B159" i="2"/>
  <c r="E159" i="2"/>
  <c r="E121" i="13"/>
  <c r="F121" i="13" s="1"/>
  <c r="B160" i="2" l="1"/>
  <c r="B161" i="2" s="1"/>
  <c r="B162" i="2" s="1"/>
  <c r="B163" i="2" s="1"/>
  <c r="B164" i="2" s="1"/>
  <c r="B165" i="2" s="1"/>
  <c r="D122" i="13"/>
  <c r="G121" i="13"/>
  <c r="B167" i="2" l="1"/>
  <c r="D297" i="2"/>
  <c r="E167" i="2"/>
  <c r="E165" i="2"/>
  <c r="E122" i="13"/>
  <c r="F122" i="13" s="1"/>
  <c r="D123" i="13" s="1"/>
  <c r="B168" i="2" l="1"/>
  <c r="E169" i="2" s="1"/>
  <c r="E123" i="13"/>
  <c r="F123" i="13" s="1"/>
  <c r="G122" i="13"/>
  <c r="C48" i="20" l="1"/>
  <c r="E30" i="2"/>
  <c r="D310" i="2"/>
  <c r="B169" i="2"/>
  <c r="D312" i="2"/>
  <c r="C48" i="13"/>
  <c r="D307" i="2"/>
  <c r="D124" i="13"/>
  <c r="G123" i="13"/>
  <c r="B171" i="2" l="1"/>
  <c r="B172" i="2" s="1"/>
  <c r="E124" i="13"/>
  <c r="F124" i="13" s="1"/>
  <c r="B173" i="2" l="1"/>
  <c r="B174" i="2" s="1"/>
  <c r="D125" i="13"/>
  <c r="G124" i="13"/>
  <c r="C59" i="13" l="1"/>
  <c r="C59" i="20"/>
  <c r="B175" i="2"/>
  <c r="B176" i="2" s="1"/>
  <c r="B177" i="2" s="1"/>
  <c r="C76" i="13"/>
  <c r="C76" i="20"/>
  <c r="E34" i="2"/>
  <c r="E125" i="13"/>
  <c r="F125" i="13" s="1"/>
  <c r="B179" i="2" l="1"/>
  <c r="B180" i="2" s="1"/>
  <c r="B181" i="2" s="1"/>
  <c r="E177" i="2"/>
  <c r="D126" i="13"/>
  <c r="G125" i="13"/>
  <c r="B182" i="2" l="1"/>
  <c r="B183" i="2" s="1"/>
  <c r="B184" i="2" s="1"/>
  <c r="B185" i="2" s="1"/>
  <c r="B186" i="2" s="1"/>
  <c r="E126" i="13"/>
  <c r="F126" i="13" s="1"/>
  <c r="E186" i="2" l="1"/>
  <c r="B188" i="2"/>
  <c r="B189" i="2" s="1"/>
  <c r="D127" i="13"/>
  <c r="G126" i="13"/>
  <c r="B190" i="2" l="1"/>
  <c r="D193" i="2"/>
  <c r="E127" i="13"/>
  <c r="F127" i="13" s="1"/>
  <c r="B191" i="2" l="1"/>
  <c r="B192" i="2" s="1"/>
  <c r="B193" i="2" s="1"/>
  <c r="C35" i="20"/>
  <c r="C35" i="13"/>
  <c r="D128" i="13"/>
  <c r="G127" i="13"/>
  <c r="B194" i="2" l="1"/>
  <c r="E199" i="2" s="1"/>
  <c r="E128" i="13"/>
  <c r="F128" i="13" s="1"/>
  <c r="D338" i="2" l="1"/>
  <c r="B195" i="2"/>
  <c r="D129" i="13"/>
  <c r="G128" i="13"/>
  <c r="B196" i="2" l="1"/>
  <c r="E200" i="2"/>
  <c r="E129" i="13"/>
  <c r="F129" i="13" s="1"/>
  <c r="D130" i="13" l="1"/>
  <c r="E130" i="13" s="1"/>
  <c r="F130" i="13" s="1"/>
  <c r="G129" i="13"/>
  <c r="B198" i="2"/>
  <c r="E201" i="2"/>
  <c r="B199" i="2" l="1"/>
  <c r="B200" i="2" s="1"/>
  <c r="B201" i="2" s="1"/>
  <c r="B203" i="2" s="1"/>
  <c r="D131" i="13"/>
  <c r="G130" i="13"/>
  <c r="E203" i="2" l="1"/>
  <c r="B205" i="2"/>
  <c r="E37" i="2" s="1"/>
  <c r="C50" i="13"/>
  <c r="C50" i="20"/>
  <c r="E131" i="13"/>
  <c r="F131" i="13" s="1"/>
  <c r="D132" i="13" s="1"/>
  <c r="G131" i="13" l="1"/>
  <c r="C49" i="13"/>
  <c r="C49" i="20"/>
  <c r="B207" i="2"/>
  <c r="E198" i="2"/>
  <c r="E132" i="13"/>
  <c r="F132" i="13" s="1"/>
  <c r="D301" i="2" l="1"/>
  <c r="B209" i="2"/>
  <c r="D133" i="13"/>
  <c r="G132" i="13"/>
  <c r="B211" i="2" l="1"/>
  <c r="B213" i="2" s="1"/>
  <c r="D211" i="2"/>
  <c r="E133" i="13"/>
  <c r="F133" i="13" s="1"/>
  <c r="D134" i="13" s="1"/>
  <c r="D214" i="2" l="1"/>
  <c r="E13" i="2"/>
  <c r="B226" i="2"/>
  <c r="G133" i="13"/>
  <c r="E134" i="13"/>
  <c r="F134" i="13" s="1"/>
  <c r="D135" i="13" l="1"/>
  <c r="E135" i="13" s="1"/>
  <c r="F135" i="13" s="1"/>
  <c r="G134" i="13"/>
  <c r="B227" i="2"/>
  <c r="B228" i="2" s="1"/>
  <c r="B229" i="2" s="1"/>
  <c r="E231" i="2" l="1"/>
  <c r="B231" i="2"/>
  <c r="B233" i="2" s="1"/>
  <c r="B234" i="2" s="1"/>
  <c r="E68" i="2"/>
  <c r="E229" i="2"/>
  <c r="D136" i="13"/>
  <c r="G135" i="13"/>
  <c r="B235" i="2" l="1"/>
  <c r="B236" i="2" s="1"/>
  <c r="B237" i="2" s="1"/>
  <c r="B238" i="2" s="1"/>
  <c r="B239" i="2" s="1"/>
  <c r="B241" i="2" s="1"/>
  <c r="B244" i="2" s="1"/>
  <c r="B245" i="2" s="1"/>
  <c r="E136" i="13"/>
  <c r="F136" i="13" s="1"/>
  <c r="E239" i="2" l="1"/>
  <c r="D137" i="13"/>
  <c r="E137" i="13" s="1"/>
  <c r="F137" i="13" s="1"/>
  <c r="D138" i="13" s="1"/>
  <c r="G136" i="13"/>
  <c r="B246" i="2"/>
  <c r="B247" i="2" s="1"/>
  <c r="B248" i="2" s="1"/>
  <c r="B249" i="2" l="1"/>
  <c r="G137" i="13"/>
  <c r="E138" i="13"/>
  <c r="F138" i="13" s="1"/>
  <c r="D139" i="13" s="1"/>
  <c r="G138" i="13" l="1"/>
  <c r="B250" i="2"/>
  <c r="D256" i="2"/>
  <c r="E139" i="13"/>
  <c r="F139" i="13" s="1"/>
  <c r="D140" i="13" s="1"/>
  <c r="B251" i="2" l="1"/>
  <c r="B252" i="2" s="1"/>
  <c r="E140" i="13"/>
  <c r="F140" i="13" s="1"/>
  <c r="G139" i="13"/>
  <c r="E252" i="2" l="1"/>
  <c r="B254" i="2"/>
  <c r="B255" i="2" s="1"/>
  <c r="D257" i="2"/>
  <c r="D141" i="13"/>
  <c r="G140" i="13"/>
  <c r="D359" i="2" l="1"/>
  <c r="B256" i="2"/>
  <c r="B257" i="2" s="1"/>
  <c r="D258" i="2" s="1"/>
  <c r="E141" i="13"/>
  <c r="F141" i="13" s="1"/>
  <c r="D350" i="2" l="1"/>
  <c r="B258" i="2"/>
  <c r="C16" i="20"/>
  <c r="C16" i="13"/>
  <c r="C19" i="13"/>
  <c r="C19" i="20"/>
  <c r="D142" i="13"/>
  <c r="G141" i="13"/>
  <c r="B260" i="2" l="1"/>
  <c r="B77" i="41"/>
  <c r="E205" i="2"/>
  <c r="D191" i="2"/>
  <c r="E142" i="13"/>
  <c r="F142" i="13" s="1"/>
  <c r="D143" i="13" l="1"/>
  <c r="E143" i="13" s="1"/>
  <c r="F143" i="13" s="1"/>
  <c r="G142" i="13"/>
  <c r="D144" i="13" l="1"/>
  <c r="G143" i="13"/>
  <c r="E144" i="13" l="1"/>
  <c r="F144" i="13" s="1"/>
  <c r="D145" i="13" l="1"/>
  <c r="G144" i="13"/>
  <c r="E145" i="13" l="1"/>
  <c r="F145" i="13" s="1"/>
  <c r="D146" i="13" s="1"/>
  <c r="E146" i="13" l="1"/>
  <c r="F146" i="13" s="1"/>
  <c r="G145" i="13"/>
  <c r="D147" i="13" l="1"/>
  <c r="G146" i="13"/>
  <c r="E147" i="13" l="1"/>
  <c r="F147" i="13" s="1"/>
  <c r="D148" i="13" s="1"/>
  <c r="G147" i="13" l="1"/>
  <c r="E148" i="13"/>
  <c r="F148" i="13" s="1"/>
  <c r="D149" i="13" l="1"/>
  <c r="G148" i="13"/>
  <c r="E149" i="13" l="1"/>
  <c r="F149" i="13" s="1"/>
  <c r="D150" i="13" l="1"/>
  <c r="E150" i="13" s="1"/>
  <c r="F150" i="13" s="1"/>
  <c r="G149" i="13"/>
  <c r="D151" i="13" l="1"/>
  <c r="G150" i="13"/>
  <c r="E151" i="13" l="1"/>
  <c r="F151" i="13" s="1"/>
  <c r="D152" i="13" l="1"/>
  <c r="E152" i="13" s="1"/>
  <c r="F152" i="13" s="1"/>
  <c r="G151" i="13"/>
  <c r="D153" i="13" l="1"/>
  <c r="G152" i="13"/>
  <c r="E153" i="13" l="1"/>
  <c r="F153" i="13" s="1"/>
  <c r="D154" i="13" s="1"/>
  <c r="G153" i="13" l="1"/>
  <c r="E154" i="13"/>
  <c r="F154" i="13" s="1"/>
  <c r="D155" i="13" s="1"/>
  <c r="E155" i="13" l="1"/>
  <c r="F155" i="13" s="1"/>
  <c r="G154" i="13"/>
  <c r="D156" i="13" l="1"/>
  <c r="G155" i="13"/>
  <c r="E156" i="13" l="1"/>
  <c r="F156" i="13" s="1"/>
  <c r="D157" i="13" s="1"/>
  <c r="E157" i="13" l="1"/>
  <c r="F157" i="13" s="1"/>
  <c r="D158" i="13" s="1"/>
  <c r="G156" i="13"/>
  <c r="G157" i="13" l="1"/>
  <c r="E158" i="13"/>
  <c r="F158" i="13" s="1"/>
  <c r="D159" i="13" l="1"/>
  <c r="E159" i="13" s="1"/>
  <c r="F159" i="13" s="1"/>
  <c r="G158" i="13"/>
  <c r="D160" i="13" l="1"/>
  <c r="G159" i="13"/>
  <c r="E160" i="13" l="1"/>
  <c r="F160" i="13" s="1"/>
  <c r="D161" i="13" l="1"/>
  <c r="E161" i="13" s="1"/>
  <c r="E162" i="13" s="1"/>
  <c r="G160" i="13"/>
  <c r="F161" i="13" l="1"/>
  <c r="G161" i="13" s="1"/>
  <c r="E65" i="30" l="1"/>
  <c r="E27" i="11" s="1"/>
  <c r="I27" i="11" s="1"/>
  <c r="E83" i="30"/>
  <c r="E35" i="11" s="1"/>
  <c r="K35" i="11" s="1"/>
  <c r="E75" i="30"/>
  <c r="E33" i="11" s="1"/>
  <c r="M33" i="11" s="1"/>
  <c r="E100" i="30"/>
  <c r="E37" i="11" s="1"/>
  <c r="K37" i="11" s="1"/>
  <c r="E79" i="30"/>
  <c r="E34" i="11" s="1"/>
  <c r="K34" i="11" s="1"/>
  <c r="E103" i="30"/>
  <c r="E38" i="11" s="1"/>
  <c r="M38" i="11" s="1"/>
  <c r="E63" i="30" l="1"/>
  <c r="E26" i="11" s="1"/>
  <c r="I26" i="11" s="1"/>
  <c r="E61" i="30"/>
  <c r="E25" i="11" s="1"/>
  <c r="I25" i="11" s="1"/>
  <c r="E93" i="30"/>
  <c r="E36" i="11" s="1"/>
  <c r="K36" i="11" s="1"/>
  <c r="K42" i="11" s="1"/>
  <c r="G185" i="2" s="1"/>
  <c r="E71" i="30"/>
  <c r="E30" i="11" s="1"/>
  <c r="M30" i="11" s="1"/>
  <c r="E110" i="30"/>
  <c r="E40" i="11" s="1"/>
  <c r="M40" i="11" s="1"/>
  <c r="E107" i="30"/>
  <c r="E39" i="11" s="1"/>
  <c r="M39" i="11" s="1"/>
  <c r="I42" i="11" l="1"/>
  <c r="G181" i="2" s="1"/>
  <c r="E15" i="30"/>
  <c r="E17" i="11" s="1"/>
  <c r="M17" i="11" l="1"/>
  <c r="M42" i="11" s="1"/>
  <c r="G184" i="2" s="1"/>
  <c r="L184" i="2" s="1"/>
  <c r="I49" i="5" l="1"/>
  <c r="E51" i="5"/>
  <c r="I17" i="5" l="1"/>
  <c r="G99" i="2" s="1"/>
  <c r="I50" i="5"/>
  <c r="I51" i="5" s="1"/>
  <c r="G103" i="2" s="1"/>
  <c r="G51" i="5"/>
  <c r="G20" i="5"/>
  <c r="E20" i="5"/>
  <c r="I19" i="5" l="1"/>
  <c r="I20" i="5" s="1"/>
  <c r="L99" i="2" s="1"/>
  <c r="I41" i="5" l="1"/>
  <c r="G102" i="2" s="1"/>
  <c r="I33" i="5"/>
  <c r="G101" i="2" s="1"/>
  <c r="I25" i="5" l="1"/>
  <c r="G100" i="2" s="1"/>
  <c r="G104" i="2" s="1"/>
  <c r="I52" i="5" l="1"/>
  <c r="L103" i="2" s="1"/>
  <c r="I43" i="5" l="1"/>
  <c r="I42" i="5"/>
  <c r="G44" i="5"/>
  <c r="I26" i="5"/>
  <c r="G28" i="5"/>
  <c r="E44" i="5"/>
  <c r="I44" i="5" l="1"/>
  <c r="L102" i="2" s="1"/>
  <c r="I34" i="5"/>
  <c r="G36" i="5" l="1"/>
  <c r="E28" i="5" l="1"/>
  <c r="I27" i="5"/>
  <c r="I28" i="5" s="1"/>
  <c r="L100" i="2" s="1"/>
  <c r="E36" i="5"/>
  <c r="I35" i="5"/>
  <c r="I36" i="5" s="1"/>
  <c r="L101" i="2" s="1"/>
  <c r="L104" i="2" l="1"/>
  <c r="G22" i="48" l="1"/>
  <c r="C28" i="48"/>
  <c r="D23" i="48" s="1"/>
  <c r="E23" i="48" s="1"/>
  <c r="G164" i="2" s="1"/>
  <c r="G26" i="48"/>
  <c r="G25" i="48"/>
  <c r="G24" i="48"/>
  <c r="G27" i="48"/>
  <c r="D25" i="48" l="1"/>
  <c r="E25" i="48" s="1"/>
  <c r="H25" i="48" s="1"/>
  <c r="I25" i="48" s="1"/>
  <c r="D22" i="48"/>
  <c r="E22" i="48" s="1"/>
  <c r="H22" i="48" s="1"/>
  <c r="I22" i="48" s="1"/>
  <c r="D27" i="48"/>
  <c r="E27" i="48" s="1"/>
  <c r="H27" i="48" s="1"/>
  <c r="I27" i="48" s="1"/>
  <c r="D26" i="48"/>
  <c r="E26" i="48" s="1"/>
  <c r="H26" i="48" s="1"/>
  <c r="I26" i="48" s="1"/>
  <c r="D24" i="48"/>
  <c r="E24" i="48" s="1"/>
  <c r="H24" i="48" s="1"/>
  <c r="I24" i="48" s="1"/>
  <c r="G23" i="48" l="1"/>
  <c r="H23" i="48" l="1"/>
  <c r="H28" i="48" s="1"/>
  <c r="G28" i="48"/>
  <c r="I23" i="48" l="1"/>
  <c r="I28" i="48" s="1"/>
  <c r="H10" i="50"/>
  <c r="D21" i="50" l="1"/>
  <c r="I54" i="50"/>
  <c r="H10" i="47"/>
  <c r="I54" i="47" l="1"/>
  <c r="D21" i="47"/>
  <c r="D22" i="50"/>
  <c r="H21" i="50"/>
  <c r="D22" i="47" l="1"/>
  <c r="H21" i="47"/>
  <c r="K21" i="50"/>
  <c r="D23" i="50"/>
  <c r="H22" i="50"/>
  <c r="K22" i="50" s="1"/>
  <c r="D24" i="50" l="1"/>
  <c r="H23" i="50"/>
  <c r="K23" i="50" s="1"/>
  <c r="K21" i="47"/>
  <c r="D23" i="47"/>
  <c r="H22" i="47"/>
  <c r="K22" i="47" s="1"/>
  <c r="D24" i="47" l="1"/>
  <c r="H23" i="47"/>
  <c r="K23" i="47" s="1"/>
  <c r="D25" i="50"/>
  <c r="H24" i="50"/>
  <c r="K24" i="50" l="1"/>
  <c r="D26" i="50"/>
  <c r="H25" i="50"/>
  <c r="K25" i="50" s="1"/>
  <c r="D25" i="47"/>
  <c r="H24" i="47"/>
  <c r="K24" i="47" l="1"/>
  <c r="D26" i="47"/>
  <c r="H25" i="47"/>
  <c r="K25" i="47" s="1"/>
  <c r="D27" i="50"/>
  <c r="H26" i="50"/>
  <c r="K26" i="50" s="1"/>
  <c r="D28" i="50" l="1"/>
  <c r="H27" i="50"/>
  <c r="D27" i="47"/>
  <c r="H26" i="47"/>
  <c r="K26" i="47" s="1"/>
  <c r="D28" i="47" l="1"/>
  <c r="H27" i="47"/>
  <c r="K27" i="47" s="1"/>
  <c r="K27" i="50"/>
  <c r="D29" i="50"/>
  <c r="H28" i="50"/>
  <c r="K28" i="50" s="1"/>
  <c r="D30" i="50" l="1"/>
  <c r="H29" i="50"/>
  <c r="K29" i="50" s="1"/>
  <c r="D29" i="47"/>
  <c r="H28" i="47"/>
  <c r="K28" i="47" s="1"/>
  <c r="D30" i="47" l="1"/>
  <c r="H29" i="47"/>
  <c r="K29" i="47" s="1"/>
  <c r="D31" i="50"/>
  <c r="H30" i="50"/>
  <c r="K30" i="50" s="1"/>
  <c r="D32" i="50" l="1"/>
  <c r="H32" i="50" s="1"/>
  <c r="H31" i="50"/>
  <c r="K31" i="50" s="1"/>
  <c r="D31" i="47"/>
  <c r="H30" i="47"/>
  <c r="K30" i="47" s="1"/>
  <c r="D32" i="47" l="1"/>
  <c r="H32" i="47" s="1"/>
  <c r="H31" i="47"/>
  <c r="K31" i="47" s="1"/>
  <c r="K32" i="50"/>
  <c r="K33" i="50" s="1"/>
  <c r="D36" i="50" s="1"/>
  <c r="H36" i="50" s="1"/>
  <c r="K36" i="50" s="1"/>
  <c r="H33" i="50"/>
  <c r="D39" i="50" l="1"/>
  <c r="I39" i="50"/>
  <c r="K32" i="47"/>
  <c r="K33" i="47" s="1"/>
  <c r="D36" i="47" s="1"/>
  <c r="H36" i="47" s="1"/>
  <c r="K36" i="47" s="1"/>
  <c r="H33" i="47"/>
  <c r="I40" i="50" l="1"/>
  <c r="I41" i="50" s="1"/>
  <c r="I42" i="50" s="1"/>
  <c r="I43" i="50" s="1"/>
  <c r="I44" i="50" s="1"/>
  <c r="I45" i="50" s="1"/>
  <c r="I46" i="50" s="1"/>
  <c r="I47" i="50" s="1"/>
  <c r="I48" i="50" s="1"/>
  <c r="I49" i="50" s="1"/>
  <c r="I50" i="50" s="1"/>
  <c r="D39" i="47"/>
  <c r="I39" i="47"/>
  <c r="H39" i="50"/>
  <c r="K39" i="50"/>
  <c r="D40" i="50" s="1"/>
  <c r="I53" i="50" l="1"/>
  <c r="I40" i="47"/>
  <c r="I41" i="47" s="1"/>
  <c r="I42" i="47" s="1"/>
  <c r="I43" i="47" s="1"/>
  <c r="I44" i="47" s="1"/>
  <c r="I45" i="47" s="1"/>
  <c r="I46" i="47" s="1"/>
  <c r="I47" i="47" s="1"/>
  <c r="I48" i="47" s="1"/>
  <c r="I49" i="47" s="1"/>
  <c r="I50" i="47" s="1"/>
  <c r="I53" i="47" s="1"/>
  <c r="K40" i="50"/>
  <c r="D41" i="50" s="1"/>
  <c r="H40" i="50"/>
  <c r="H39" i="47"/>
  <c r="K39" i="47"/>
  <c r="D40" i="47" s="1"/>
  <c r="I55" i="47" l="1"/>
  <c r="I55" i="50"/>
  <c r="K41" i="50"/>
  <c r="D42" i="50" s="1"/>
  <c r="H41" i="50"/>
  <c r="H40" i="47"/>
  <c r="K40" i="47"/>
  <c r="D41" i="47" s="1"/>
  <c r="K41" i="47" l="1"/>
  <c r="D42" i="47" s="1"/>
  <c r="H41" i="47"/>
  <c r="H42" i="50"/>
  <c r="K42" i="50"/>
  <c r="D43" i="50" s="1"/>
  <c r="K43" i="50" l="1"/>
  <c r="D44" i="50" s="1"/>
  <c r="H43" i="50"/>
  <c r="K42" i="47"/>
  <c r="D43" i="47" s="1"/>
  <c r="H42" i="47"/>
  <c r="H43" i="47" l="1"/>
  <c r="K43" i="47"/>
  <c r="D44" i="47" s="1"/>
  <c r="K44" i="50"/>
  <c r="D45" i="50" s="1"/>
  <c r="H44" i="50"/>
  <c r="H45" i="50" l="1"/>
  <c r="K45" i="50"/>
  <c r="D46" i="50" s="1"/>
  <c r="H44" i="47"/>
  <c r="K44" i="47"/>
  <c r="D45" i="47" s="1"/>
  <c r="K45" i="47" l="1"/>
  <c r="D46" i="47" s="1"/>
  <c r="H45" i="47"/>
  <c r="H46" i="50"/>
  <c r="K46" i="50"/>
  <c r="D47" i="50" s="1"/>
  <c r="H47" i="50" l="1"/>
  <c r="K47" i="50"/>
  <c r="D48" i="50" s="1"/>
  <c r="K46" i="47"/>
  <c r="D47" i="47" s="1"/>
  <c r="H46" i="47"/>
  <c r="H47" i="47" l="1"/>
  <c r="K47" i="47"/>
  <c r="D48" i="47" s="1"/>
  <c r="H48" i="50"/>
  <c r="K48" i="50"/>
  <c r="D49" i="50" s="1"/>
  <c r="K49" i="50" l="1"/>
  <c r="D50" i="50" s="1"/>
  <c r="H49" i="50"/>
  <c r="K48" i="47"/>
  <c r="D49" i="47" s="1"/>
  <c r="H48" i="47"/>
  <c r="K49" i="47" l="1"/>
  <c r="D50" i="47" s="1"/>
  <c r="H49" i="47"/>
  <c r="K50" i="50"/>
  <c r="H50" i="50"/>
  <c r="H51" i="50" s="1"/>
  <c r="H50" i="47" l="1"/>
  <c r="H51" i="47" s="1"/>
  <c r="K50" i="47"/>
  <c r="E90" i="6" l="1"/>
  <c r="E58" i="6"/>
  <c r="J57" i="6"/>
  <c r="K57" i="6" s="1"/>
  <c r="E57" i="6" s="1"/>
  <c r="J89" i="6" l="1"/>
  <c r="K89" i="6" s="1"/>
  <c r="E89" i="6" s="1"/>
  <c r="J46" i="6" l="1"/>
  <c r="J78" i="6" l="1"/>
  <c r="K46" i="6"/>
  <c r="E46" i="6" s="1"/>
  <c r="J63" i="6"/>
  <c r="J29" i="6" s="1"/>
  <c r="K78" i="6" l="1"/>
  <c r="E78" i="6" s="1"/>
  <c r="J96" i="6"/>
  <c r="J30" i="6" s="1"/>
  <c r="J31" i="6" s="1"/>
  <c r="G117" i="2" s="1"/>
  <c r="E47" i="6" l="1"/>
  <c r="E79" i="6" l="1"/>
  <c r="J19" i="8" l="1"/>
  <c r="J17" i="8"/>
  <c r="J15" i="8"/>
  <c r="J21" i="8" l="1"/>
  <c r="J27" i="8" s="1"/>
  <c r="J31" i="8" s="1"/>
  <c r="K27" i="8"/>
  <c r="K31" i="8" s="1"/>
  <c r="G15" i="2" s="1"/>
  <c r="L15" i="2" s="1"/>
  <c r="E50" i="30" l="1"/>
  <c r="I51" i="30"/>
  <c r="I50" i="30" s="1"/>
  <c r="E33" i="30"/>
  <c r="E21" i="11" s="1"/>
  <c r="G21" i="11" s="1"/>
  <c r="E27" i="30" l="1"/>
  <c r="F113" i="30"/>
  <c r="E44" i="30"/>
  <c r="E22" i="11" s="1"/>
  <c r="G22" i="11" s="1"/>
  <c r="M71" i="11" s="1"/>
  <c r="I45" i="30"/>
  <c r="I44" i="30" s="1"/>
  <c r="E20" i="11" l="1"/>
  <c r="E25" i="30"/>
  <c r="E113" i="30" s="1"/>
  <c r="G20" i="11" l="1"/>
  <c r="G42" i="11" s="1"/>
  <c r="G183" i="2" s="1"/>
  <c r="G186" i="2" s="1"/>
  <c r="E42" i="11"/>
  <c r="D61" i="9" l="1"/>
  <c r="G157" i="2" s="1"/>
  <c r="D41" i="9"/>
  <c r="G156" i="2" s="1"/>
  <c r="L45" i="2"/>
  <c r="L46" i="2"/>
  <c r="F61" i="9" l="1"/>
  <c r="G162" i="2" s="1"/>
  <c r="D33" i="9"/>
  <c r="G146" i="2" s="1"/>
  <c r="F41" i="9"/>
  <c r="G161" i="2" s="1"/>
  <c r="E41" i="9" l="1"/>
  <c r="L44" i="2"/>
  <c r="G149" i="2"/>
  <c r="E61" i="9"/>
  <c r="L48" i="2" l="1"/>
  <c r="G113" i="2"/>
  <c r="E53" i="6" l="1"/>
  <c r="E85" i="6"/>
  <c r="I51" i="6"/>
  <c r="K51" i="6" s="1"/>
  <c r="E51" i="6" s="1"/>
  <c r="I83" i="6"/>
  <c r="K83" i="6" s="1"/>
  <c r="E83" i="6" s="1"/>
  <c r="E49" i="6"/>
  <c r="E81" i="6"/>
  <c r="E44" i="6"/>
  <c r="E76" i="6"/>
  <c r="E42" i="6"/>
  <c r="E74" i="6"/>
  <c r="E52" i="6"/>
  <c r="E84" i="6"/>
  <c r="E59" i="6"/>
  <c r="E91" i="6"/>
  <c r="E55" i="6"/>
  <c r="E87" i="6"/>
  <c r="E48" i="6"/>
  <c r="E80" i="6"/>
  <c r="E56" i="6"/>
  <c r="E88" i="6"/>
  <c r="E50" i="6"/>
  <c r="E82" i="6"/>
  <c r="E60" i="6"/>
  <c r="E92" i="6"/>
  <c r="E41" i="6"/>
  <c r="E73" i="6"/>
  <c r="E54" i="6"/>
  <c r="E86" i="6"/>
  <c r="E61" i="6"/>
  <c r="E93" i="6"/>
  <c r="E45" i="6"/>
  <c r="E77" i="6"/>
  <c r="E43" i="6"/>
  <c r="E75" i="6"/>
  <c r="E40" i="6"/>
  <c r="E72" i="6"/>
  <c r="I39" i="6" l="1"/>
  <c r="D63" i="6"/>
  <c r="D29" i="6" s="1"/>
  <c r="I71" i="6" l="1"/>
  <c r="D96" i="6"/>
  <c r="D30" i="6" s="1"/>
  <c r="D31" i="6" s="1"/>
  <c r="K39" i="6"/>
  <c r="I63" i="6"/>
  <c r="I29" i="6" s="1"/>
  <c r="K63" i="6" l="1"/>
  <c r="K29" i="6" s="1"/>
  <c r="E39" i="6"/>
  <c r="E63" i="6" s="1"/>
  <c r="E29" i="6" s="1"/>
  <c r="K71" i="6"/>
  <c r="I96" i="6"/>
  <c r="I30" i="6" s="1"/>
  <c r="I31" i="6" s="1"/>
  <c r="G118" i="2" s="1"/>
  <c r="K96" i="6" l="1"/>
  <c r="K30" i="6" s="1"/>
  <c r="K31" i="6" s="1"/>
  <c r="E71" i="6"/>
  <c r="E96" i="6" s="1"/>
  <c r="E30" i="6" s="1"/>
  <c r="E31" i="6" s="1"/>
  <c r="G120" i="2" s="1"/>
  <c r="L120" i="2" s="1"/>
  <c r="G121" i="2" l="1"/>
  <c r="G42" i="35" l="1"/>
  <c r="G82" i="2" s="1"/>
  <c r="L82" i="2" s="1"/>
  <c r="G23" i="35"/>
  <c r="G70" i="2" s="1"/>
  <c r="L70" i="2" s="1"/>
  <c r="I23" i="35"/>
  <c r="G72" i="2" s="1"/>
  <c r="H23" i="35"/>
  <c r="G71" i="2" s="1"/>
  <c r="L71" i="2" s="1"/>
  <c r="F71" i="35"/>
  <c r="L106" i="2" s="1"/>
  <c r="K23" i="35"/>
  <c r="G74" i="2" s="1"/>
  <c r="C62" i="35"/>
  <c r="L228" i="2" s="1"/>
  <c r="H42" i="35"/>
  <c r="G83" i="2" s="1"/>
  <c r="L83" i="2" s="1"/>
  <c r="I42" i="35"/>
  <c r="G84" i="2" s="1"/>
  <c r="K42" i="35"/>
  <c r="G86" i="2" s="1"/>
  <c r="D62" i="35"/>
  <c r="J23" i="35"/>
  <c r="G73" i="2" s="1"/>
  <c r="J42" i="35"/>
  <c r="G85" i="2" s="1"/>
  <c r="D42" i="35"/>
  <c r="G79" i="2" s="1"/>
  <c r="L79" i="2" s="1"/>
  <c r="C42" i="35" l="1"/>
  <c r="G78" i="2" s="1"/>
  <c r="G93" i="2"/>
  <c r="K47" i="11" s="1"/>
  <c r="K61" i="11" s="1"/>
  <c r="K63" i="11" s="1"/>
  <c r="K65" i="11" s="1"/>
  <c r="K67" i="11" s="1"/>
  <c r="K68" i="11" s="1"/>
  <c r="L92" i="2"/>
  <c r="D23" i="35"/>
  <c r="G67" i="2" s="1"/>
  <c r="L67" i="2" s="1"/>
  <c r="G94" i="2"/>
  <c r="E23" i="35"/>
  <c r="G68" i="2" s="1"/>
  <c r="G92" i="2"/>
  <c r="I47" i="11" s="1"/>
  <c r="E42" i="35"/>
  <c r="F69" i="35"/>
  <c r="G106" i="2" s="1"/>
  <c r="K50" i="11" l="1"/>
  <c r="K52" i="11" s="1"/>
  <c r="K54" i="11" s="1"/>
  <c r="K56" i="11" s="1"/>
  <c r="K57" i="11" s="1"/>
  <c r="C23" i="35"/>
  <c r="G66" i="2" s="1"/>
  <c r="G75" i="2" s="1"/>
  <c r="I61" i="11"/>
  <c r="I63" i="11" s="1"/>
  <c r="I65" i="11" s="1"/>
  <c r="I50" i="11"/>
  <c r="I52" i="11" s="1"/>
  <c r="I54" i="11" s="1"/>
  <c r="L226" i="2"/>
  <c r="D64" i="35"/>
  <c r="L80" i="2" s="1"/>
  <c r="G80" i="2"/>
  <c r="G87" i="2" s="1"/>
  <c r="L78" i="2"/>
  <c r="L66" i="2" l="1"/>
  <c r="L90" i="2" s="1"/>
  <c r="G90" i="2"/>
  <c r="E47" i="11" s="1"/>
  <c r="I71" i="11"/>
  <c r="J80" i="2"/>
  <c r="J174" i="2" s="1"/>
  <c r="L174" i="2" s="1"/>
  <c r="L229" i="2"/>
  <c r="L68" i="2" s="1"/>
  <c r="G91" i="2"/>
  <c r="G47" i="11" s="1"/>
  <c r="J81" i="2" l="1"/>
  <c r="L81" i="2" s="1"/>
  <c r="L231" i="2"/>
  <c r="J235" i="2" s="1"/>
  <c r="L235" i="2" s="1"/>
  <c r="L239" i="2" s="1"/>
  <c r="L241" i="2" s="1"/>
  <c r="H76" i="13"/>
  <c r="F59" i="13"/>
  <c r="G76" i="20"/>
  <c r="G59" i="20"/>
  <c r="G95" i="2"/>
  <c r="G125" i="2" s="1"/>
  <c r="G205" i="2" s="1"/>
  <c r="G198" i="2" s="1"/>
  <c r="G203" i="2" s="1"/>
  <c r="G50" i="11"/>
  <c r="G52" i="11" s="1"/>
  <c r="G54" i="11" s="1"/>
  <c r="G61" i="11"/>
  <c r="G63" i="11" s="1"/>
  <c r="G65" i="11" s="1"/>
  <c r="M47" i="11"/>
  <c r="E50" i="11"/>
  <c r="E61" i="11"/>
  <c r="H75" i="13"/>
  <c r="G75" i="20"/>
  <c r="J76" i="2"/>
  <c r="J161" i="2" l="1"/>
  <c r="L161" i="2" s="1"/>
  <c r="J69" i="2"/>
  <c r="L69" i="2" s="1"/>
  <c r="L91" i="2" s="1"/>
  <c r="G64" i="20" s="1"/>
  <c r="J162" i="2"/>
  <c r="L162" i="2" s="1"/>
  <c r="J149" i="2"/>
  <c r="L149" i="2" s="1"/>
  <c r="L113" i="2" s="1"/>
  <c r="J114" i="2"/>
  <c r="L114" i="2" s="1"/>
  <c r="E63" i="11"/>
  <c r="M61" i="11"/>
  <c r="E71" i="11"/>
  <c r="G77" i="20"/>
  <c r="G78" i="20" s="1"/>
  <c r="G79" i="20" s="1"/>
  <c r="M50" i="11"/>
  <c r="E52" i="11"/>
  <c r="J86" i="2"/>
  <c r="L86" i="2" s="1"/>
  <c r="J73" i="2"/>
  <c r="L73" i="2" s="1"/>
  <c r="J159" i="2"/>
  <c r="J175" i="2"/>
  <c r="L175" i="2" s="1"/>
  <c r="J84" i="2"/>
  <c r="L84" i="2" s="1"/>
  <c r="J110" i="2"/>
  <c r="L110" i="2" s="1"/>
  <c r="J72" i="2"/>
  <c r="L72" i="2" s="1"/>
  <c r="J181" i="2"/>
  <c r="L181" i="2" s="1"/>
  <c r="J85" i="2"/>
  <c r="L85" i="2" s="1"/>
  <c r="J176" i="2"/>
  <c r="L176" i="2" s="1"/>
  <c r="J117" i="2"/>
  <c r="L117" i="2" s="1"/>
  <c r="J74" i="2"/>
  <c r="L74" i="2" s="1"/>
  <c r="J115" i="2"/>
  <c r="L115" i="2" s="1"/>
  <c r="J164" i="2"/>
  <c r="L164" i="2" s="1"/>
  <c r="H77" i="13"/>
  <c r="H78" i="13" s="1"/>
  <c r="H79" i="13" s="1"/>
  <c r="D98" i="13" s="1"/>
  <c r="F64" i="13" l="1"/>
  <c r="L75" i="2"/>
  <c r="J75" i="2" s="1"/>
  <c r="J118" i="2" s="1"/>
  <c r="L118" i="2" s="1"/>
  <c r="E65" i="11"/>
  <c r="M63" i="11"/>
  <c r="E54" i="11"/>
  <c r="M52" i="11"/>
  <c r="L93" i="2"/>
  <c r="D1435" i="20"/>
  <c r="I1436" i="20" s="1"/>
  <c r="E1439" i="20" s="1"/>
  <c r="F1439" i="20" s="1"/>
  <c r="D1440" i="20" s="1"/>
  <c r="E1440" i="20" s="1"/>
  <c r="F1440" i="20" s="1"/>
  <c r="D1441" i="20" s="1"/>
  <c r="E1441" i="20" s="1"/>
  <c r="F1441" i="20" s="1"/>
  <c r="D1442" i="20" s="1"/>
  <c r="E1442" i="20" s="1"/>
  <c r="F1442" i="20" s="1"/>
  <c r="D1443" i="20" s="1"/>
  <c r="E1443" i="20" s="1"/>
  <c r="F1443" i="20" s="1"/>
  <c r="D1444" i="20" s="1"/>
  <c r="E1444" i="20" s="1"/>
  <c r="F1444" i="20" s="1"/>
  <c r="D1445" i="20" s="1"/>
  <c r="E1445" i="20" s="1"/>
  <c r="F1445" i="20" s="1"/>
  <c r="D1446" i="20" s="1"/>
  <c r="E1446" i="20" s="1"/>
  <c r="F1446" i="20" s="1"/>
  <c r="D1447" i="20" s="1"/>
  <c r="E1447" i="20" s="1"/>
  <c r="F1447" i="20" s="1"/>
  <c r="D1448" i="20" s="1"/>
  <c r="E1448" i="20" s="1"/>
  <c r="F1448" i="20" s="1"/>
  <c r="D1449" i="20" s="1"/>
  <c r="E1449" i="20" s="1"/>
  <c r="F1449" i="20" s="1"/>
  <c r="D1450" i="20" s="1"/>
  <c r="E1450" i="20" s="1"/>
  <c r="F1450" i="20" s="1"/>
  <c r="D1451" i="20" s="1"/>
  <c r="E1451" i="20" s="1"/>
  <c r="F1451" i="20" s="1"/>
  <c r="D1452" i="20" s="1"/>
  <c r="E1452" i="20" s="1"/>
  <c r="F1452" i="20" s="1"/>
  <c r="D1453" i="20" s="1"/>
  <c r="E1453" i="20" s="1"/>
  <c r="F1453" i="20" s="1"/>
  <c r="D1454" i="20" s="1"/>
  <c r="E1454" i="20" s="1"/>
  <c r="F1454" i="20" s="1"/>
  <c r="D1455" i="20" s="1"/>
  <c r="E1455" i="20" s="1"/>
  <c r="F1455" i="20" s="1"/>
  <c r="D1456" i="20" s="1"/>
  <c r="E1456" i="20" s="1"/>
  <c r="F1456" i="20" s="1"/>
  <c r="D1457" i="20" s="1"/>
  <c r="E1457" i="20" s="1"/>
  <c r="F1457" i="20" s="1"/>
  <c r="D1458" i="20" s="1"/>
  <c r="E1458" i="20" s="1"/>
  <c r="F1458" i="20" s="1"/>
  <c r="D1459" i="20" s="1"/>
  <c r="E1459" i="20" s="1"/>
  <c r="F1459" i="20" s="1"/>
  <c r="D1460" i="20" s="1"/>
  <c r="E1460" i="20" s="1"/>
  <c r="F1460" i="20" s="1"/>
  <c r="D1461" i="20" s="1"/>
  <c r="E1461" i="20" s="1"/>
  <c r="F1461" i="20" s="1"/>
  <c r="D1462" i="20" s="1"/>
  <c r="E1462" i="20" s="1"/>
  <c r="F1462" i="20" s="1"/>
  <c r="D1463" i="20" s="1"/>
  <c r="E1463" i="20" s="1"/>
  <c r="F1463" i="20" s="1"/>
  <c r="D1464" i="20" s="1"/>
  <c r="E1464" i="20" s="1"/>
  <c r="F1464" i="20" s="1"/>
  <c r="D1465" i="20" s="1"/>
  <c r="E1465" i="20" s="1"/>
  <c r="F1465" i="20" s="1"/>
  <c r="D1466" i="20" s="1"/>
  <c r="E1466" i="20" s="1"/>
  <c r="F1466" i="20" s="1"/>
  <c r="D1467" i="20" s="1"/>
  <c r="E1467" i="20" s="1"/>
  <c r="F1467" i="20" s="1"/>
  <c r="D1468" i="20" s="1"/>
  <c r="E1468" i="20" s="1"/>
  <c r="F1468" i="20" s="1"/>
  <c r="D1469" i="20" s="1"/>
  <c r="E1469" i="20" s="1"/>
  <c r="F1469" i="20" s="1"/>
  <c r="D1470" i="20" s="1"/>
  <c r="E1470" i="20" s="1"/>
  <c r="F1470" i="20" s="1"/>
  <c r="D1471" i="20" s="1"/>
  <c r="E1471" i="20" s="1"/>
  <c r="F1471" i="20" s="1"/>
  <c r="D1472" i="20" s="1"/>
  <c r="E1472" i="20" s="1"/>
  <c r="F1472" i="20" s="1"/>
  <c r="D1473" i="20" s="1"/>
  <c r="E1473" i="20" s="1"/>
  <c r="F1473" i="20" s="1"/>
  <c r="D1474" i="20" s="1"/>
  <c r="E1474" i="20" s="1"/>
  <c r="F1474" i="20" s="1"/>
  <c r="D1475" i="20" s="1"/>
  <c r="E1475" i="20" s="1"/>
  <c r="F1475" i="20" s="1"/>
  <c r="D1476" i="20" s="1"/>
  <c r="E1476" i="20" s="1"/>
  <c r="F1476" i="20" s="1"/>
  <c r="D1477" i="20" s="1"/>
  <c r="E1477" i="20" s="1"/>
  <c r="F1477" i="20" s="1"/>
  <c r="D1478" i="20" s="1"/>
  <c r="E1478" i="20" s="1"/>
  <c r="F1478" i="20" s="1"/>
  <c r="D1479" i="20" s="1"/>
  <c r="E1479" i="20" s="1"/>
  <c r="F1479" i="20" s="1"/>
  <c r="D1480" i="20" s="1"/>
  <c r="E1480" i="20" s="1"/>
  <c r="F1480" i="20" s="1"/>
  <c r="D1481" i="20" s="1"/>
  <c r="E1481" i="20" s="1"/>
  <c r="F1481" i="20" s="1"/>
  <c r="D1482" i="20" s="1"/>
  <c r="E1482" i="20" s="1"/>
  <c r="F1482" i="20" s="1"/>
  <c r="D1483" i="20" s="1"/>
  <c r="E1483" i="20" s="1"/>
  <c r="F1483" i="20" s="1"/>
  <c r="D1484" i="20" s="1"/>
  <c r="E1484" i="20" s="1"/>
  <c r="F1484" i="20" s="1"/>
  <c r="D1485" i="20" s="1"/>
  <c r="E1485" i="20" s="1"/>
  <c r="F1485" i="20" s="1"/>
  <c r="D1486" i="20" s="1"/>
  <c r="E1486" i="20" s="1"/>
  <c r="F1486" i="20" s="1"/>
  <c r="D1487" i="20" s="1"/>
  <c r="E1487" i="20" s="1"/>
  <c r="F1487" i="20" s="1"/>
  <c r="D1488" i="20" s="1"/>
  <c r="E1488" i="20" s="1"/>
  <c r="F1488" i="20" s="1"/>
  <c r="D1489" i="20" s="1"/>
  <c r="E1489" i="20" s="1"/>
  <c r="F1489" i="20" s="1"/>
  <c r="D1490" i="20" s="1"/>
  <c r="E1490" i="20" s="1"/>
  <c r="F1490" i="20" s="1"/>
  <c r="D1491" i="20" s="1"/>
  <c r="E1491" i="20" s="1"/>
  <c r="F1491" i="20" s="1"/>
  <c r="D1492" i="20" s="1"/>
  <c r="E1492" i="20" s="1"/>
  <c r="F1492" i="20" s="1"/>
  <c r="D1493" i="20" s="1"/>
  <c r="E1493" i="20" s="1"/>
  <c r="F1493" i="20" s="1"/>
  <c r="D1494" i="20" s="1"/>
  <c r="E1494" i="20" s="1"/>
  <c r="F1494" i="20" s="1"/>
  <c r="D1495" i="20" s="1"/>
  <c r="E1495" i="20" s="1"/>
  <c r="F1495" i="20" s="1"/>
  <c r="D1496" i="20" s="1"/>
  <c r="E1496" i="20" s="1"/>
  <c r="F1496" i="20" s="1"/>
  <c r="D1497" i="20" s="1"/>
  <c r="E1497" i="20" s="1"/>
  <c r="F1497" i="20" s="1"/>
  <c r="D1498" i="20" s="1"/>
  <c r="D99" i="20"/>
  <c r="I100" i="20" s="1"/>
  <c r="E103" i="20" s="1"/>
  <c r="F103" i="20" s="1"/>
  <c r="D104" i="20" s="1"/>
  <c r="E104" i="20" s="1"/>
  <c r="F104" i="20" s="1"/>
  <c r="D105" i="20" s="1"/>
  <c r="E105" i="20" s="1"/>
  <c r="F105" i="20" s="1"/>
  <c r="D106" i="20" s="1"/>
  <c r="E106" i="20" s="1"/>
  <c r="F106" i="20" s="1"/>
  <c r="D107" i="20" s="1"/>
  <c r="E107" i="20" s="1"/>
  <c r="F107" i="20" s="1"/>
  <c r="D108" i="20" s="1"/>
  <c r="E108" i="20" s="1"/>
  <c r="F108" i="20" s="1"/>
  <c r="D109" i="20" s="1"/>
  <c r="E109" i="20" s="1"/>
  <c r="F109" i="20" s="1"/>
  <c r="D110" i="20" s="1"/>
  <c r="E110" i="20" s="1"/>
  <c r="F110" i="20" s="1"/>
  <c r="D111" i="20" s="1"/>
  <c r="E111" i="20" s="1"/>
  <c r="F111" i="20" s="1"/>
  <c r="D112" i="20" s="1"/>
  <c r="E112" i="20" s="1"/>
  <c r="F112" i="20" s="1"/>
  <c r="D113" i="20" s="1"/>
  <c r="E113" i="20" s="1"/>
  <c r="F113" i="20" s="1"/>
  <c r="D114" i="20" s="1"/>
  <c r="E114" i="20" s="1"/>
  <c r="F114" i="20" s="1"/>
  <c r="D115" i="20" s="1"/>
  <c r="E115" i="20" s="1"/>
  <c r="F115" i="20" s="1"/>
  <c r="D116" i="20" s="1"/>
  <c r="E116" i="20" s="1"/>
  <c r="F116" i="20" s="1"/>
  <c r="D117" i="20" s="1"/>
  <c r="E117" i="20" s="1"/>
  <c r="F117" i="20" s="1"/>
  <c r="D118" i="20" s="1"/>
  <c r="E118" i="20" s="1"/>
  <c r="F118" i="20" s="1"/>
  <c r="D119" i="20" s="1"/>
  <c r="E119" i="20" s="1"/>
  <c r="F119" i="20" s="1"/>
  <c r="D120" i="20" s="1"/>
  <c r="E120" i="20" s="1"/>
  <c r="F120" i="20" s="1"/>
  <c r="D121" i="20" s="1"/>
  <c r="E121" i="20" s="1"/>
  <c r="F121" i="20" s="1"/>
  <c r="D122" i="20" s="1"/>
  <c r="E122" i="20" s="1"/>
  <c r="F122" i="20" s="1"/>
  <c r="D123" i="20" s="1"/>
  <c r="E123" i="20" s="1"/>
  <c r="F123" i="20" s="1"/>
  <c r="D124" i="20" s="1"/>
  <c r="E124" i="20" s="1"/>
  <c r="F124" i="20" s="1"/>
  <c r="D125" i="20" s="1"/>
  <c r="E125" i="20" s="1"/>
  <c r="F125" i="20" s="1"/>
  <c r="D126" i="20" s="1"/>
  <c r="E126" i="20" s="1"/>
  <c r="F126" i="20" s="1"/>
  <c r="D127" i="20" s="1"/>
  <c r="E127" i="20" s="1"/>
  <c r="F127" i="20" s="1"/>
  <c r="D128" i="20" s="1"/>
  <c r="E128" i="20" s="1"/>
  <c r="F128" i="20" s="1"/>
  <c r="D129" i="20" s="1"/>
  <c r="E129" i="20" s="1"/>
  <c r="F129" i="20" s="1"/>
  <c r="D130" i="20" s="1"/>
  <c r="E130" i="20" s="1"/>
  <c r="F130" i="20" s="1"/>
  <c r="D131" i="20" s="1"/>
  <c r="E131" i="20" s="1"/>
  <c r="F131" i="20" s="1"/>
  <c r="D132" i="20" s="1"/>
  <c r="E132" i="20" s="1"/>
  <c r="F132" i="20" s="1"/>
  <c r="D133" i="20" s="1"/>
  <c r="E133" i="20" s="1"/>
  <c r="F133" i="20" s="1"/>
  <c r="D134" i="20" s="1"/>
  <c r="E134" i="20" s="1"/>
  <c r="F134" i="20" s="1"/>
  <c r="D135" i="20" s="1"/>
  <c r="E135" i="20" s="1"/>
  <c r="F135" i="20" s="1"/>
  <c r="D136" i="20" s="1"/>
  <c r="E136" i="20" s="1"/>
  <c r="F136" i="20" s="1"/>
  <c r="D137" i="20" s="1"/>
  <c r="E137" i="20" s="1"/>
  <c r="F137" i="20" s="1"/>
  <c r="D138" i="20" s="1"/>
  <c r="E138" i="20" s="1"/>
  <c r="F138" i="20" s="1"/>
  <c r="D139" i="20" s="1"/>
  <c r="E139" i="20" s="1"/>
  <c r="F139" i="20" s="1"/>
  <c r="D140" i="20" s="1"/>
  <c r="E140" i="20" s="1"/>
  <c r="F140" i="20" s="1"/>
  <c r="D141" i="20" s="1"/>
  <c r="E141" i="20" s="1"/>
  <c r="F141" i="20" s="1"/>
  <c r="D142" i="20" s="1"/>
  <c r="E142" i="20" s="1"/>
  <c r="F142" i="20" s="1"/>
  <c r="D143" i="20" s="1"/>
  <c r="E143" i="20" s="1"/>
  <c r="F143" i="20" s="1"/>
  <c r="D144" i="20" s="1"/>
  <c r="E144" i="20" s="1"/>
  <c r="F144" i="20" s="1"/>
  <c r="D145" i="20" s="1"/>
  <c r="E145" i="20" s="1"/>
  <c r="F145" i="20" s="1"/>
  <c r="D146" i="20" s="1"/>
  <c r="E146" i="20" s="1"/>
  <c r="F146" i="20" s="1"/>
  <c r="D147" i="20" s="1"/>
  <c r="E147" i="20" s="1"/>
  <c r="F147" i="20" s="1"/>
  <c r="D148" i="20" s="1"/>
  <c r="E148" i="20" s="1"/>
  <c r="F148" i="20" s="1"/>
  <c r="D149" i="20" s="1"/>
  <c r="E149" i="20" s="1"/>
  <c r="F149" i="20" s="1"/>
  <c r="D150" i="20" s="1"/>
  <c r="E150" i="20" s="1"/>
  <c r="F150" i="20" s="1"/>
  <c r="D151" i="20" s="1"/>
  <c r="E151" i="20" s="1"/>
  <c r="F151" i="20" s="1"/>
  <c r="D152" i="20" s="1"/>
  <c r="E152" i="20" s="1"/>
  <c r="F152" i="20" s="1"/>
  <c r="D153" i="20" s="1"/>
  <c r="E153" i="20" s="1"/>
  <c r="F153" i="20" s="1"/>
  <c r="D154" i="20" s="1"/>
  <c r="E154" i="20" s="1"/>
  <c r="F154" i="20" s="1"/>
  <c r="D155" i="20" s="1"/>
  <c r="E155" i="20" s="1"/>
  <c r="F155" i="20" s="1"/>
  <c r="D156" i="20" s="1"/>
  <c r="E156" i="20" s="1"/>
  <c r="F156" i="20" s="1"/>
  <c r="D157" i="20" s="1"/>
  <c r="E157" i="20" s="1"/>
  <c r="F157" i="20" s="1"/>
  <c r="D158" i="20" s="1"/>
  <c r="E158" i="20" s="1"/>
  <c r="F158" i="20" s="1"/>
  <c r="D159" i="20" s="1"/>
  <c r="E159" i="20" s="1"/>
  <c r="F159" i="20" s="1"/>
  <c r="D160" i="20" s="1"/>
  <c r="E160" i="20" s="1"/>
  <c r="F160" i="20" s="1"/>
  <c r="D161" i="20" s="1"/>
  <c r="E161" i="20" s="1"/>
  <c r="F161" i="20" s="1"/>
  <c r="D162" i="20" s="1"/>
  <c r="D722" i="20"/>
  <c r="I723" i="20" s="1"/>
  <c r="E726" i="20" s="1"/>
  <c r="F726" i="20" s="1"/>
  <c r="D727" i="20" s="1"/>
  <c r="E727" i="20" s="1"/>
  <c r="F727" i="20" s="1"/>
  <c r="D728" i="20" s="1"/>
  <c r="E728" i="20" s="1"/>
  <c r="F728" i="20" s="1"/>
  <c r="D729" i="20" s="1"/>
  <c r="E729" i="20" s="1"/>
  <c r="F729" i="20" s="1"/>
  <c r="D730" i="20" s="1"/>
  <c r="E730" i="20" s="1"/>
  <c r="F730" i="20" s="1"/>
  <c r="D731" i="20" s="1"/>
  <c r="E731" i="20" s="1"/>
  <c r="F731" i="20" s="1"/>
  <c r="D732" i="20" s="1"/>
  <c r="E732" i="20" s="1"/>
  <c r="F732" i="20" s="1"/>
  <c r="D733" i="20" s="1"/>
  <c r="E733" i="20" s="1"/>
  <c r="F733" i="20" s="1"/>
  <c r="D734" i="20" s="1"/>
  <c r="E734" i="20" s="1"/>
  <c r="F734" i="20" s="1"/>
  <c r="D735" i="20" s="1"/>
  <c r="E735" i="20" s="1"/>
  <c r="F735" i="20" s="1"/>
  <c r="D736" i="20" s="1"/>
  <c r="E736" i="20" s="1"/>
  <c r="F736" i="20" s="1"/>
  <c r="D737" i="20" s="1"/>
  <c r="E737" i="20" s="1"/>
  <c r="F737" i="20" s="1"/>
  <c r="D738" i="20" s="1"/>
  <c r="E738" i="20" s="1"/>
  <c r="F738" i="20" s="1"/>
  <c r="D739" i="20" s="1"/>
  <c r="E739" i="20" s="1"/>
  <c r="F739" i="20" s="1"/>
  <c r="D740" i="20" s="1"/>
  <c r="E740" i="20" s="1"/>
  <c r="F740" i="20" s="1"/>
  <c r="D741" i="20" s="1"/>
  <c r="E741" i="20" s="1"/>
  <c r="F741" i="20" s="1"/>
  <c r="D742" i="20" s="1"/>
  <c r="E742" i="20" s="1"/>
  <c r="F742" i="20" s="1"/>
  <c r="D743" i="20" s="1"/>
  <c r="E743" i="20" s="1"/>
  <c r="F743" i="20" s="1"/>
  <c r="D744" i="20" s="1"/>
  <c r="E744" i="20" s="1"/>
  <c r="F744" i="20" s="1"/>
  <c r="D745" i="20" s="1"/>
  <c r="E745" i="20" s="1"/>
  <c r="F745" i="20" s="1"/>
  <c r="D746" i="20" s="1"/>
  <c r="E746" i="20" s="1"/>
  <c r="F746" i="20" s="1"/>
  <c r="D747" i="20" s="1"/>
  <c r="E747" i="20" s="1"/>
  <c r="F747" i="20" s="1"/>
  <c r="D748" i="20" s="1"/>
  <c r="E748" i="20" s="1"/>
  <c r="F748" i="20" s="1"/>
  <c r="D749" i="20" s="1"/>
  <c r="E749" i="20" s="1"/>
  <c r="F749" i="20" s="1"/>
  <c r="D750" i="20" s="1"/>
  <c r="E750" i="20" s="1"/>
  <c r="F750" i="20" s="1"/>
  <c r="D751" i="20" s="1"/>
  <c r="E751" i="20" s="1"/>
  <c r="F751" i="20" s="1"/>
  <c r="D752" i="20" s="1"/>
  <c r="E752" i="20" s="1"/>
  <c r="F752" i="20" s="1"/>
  <c r="D753" i="20" s="1"/>
  <c r="E753" i="20" s="1"/>
  <c r="F753" i="20" s="1"/>
  <c r="D754" i="20" s="1"/>
  <c r="E754" i="20" s="1"/>
  <c r="F754" i="20" s="1"/>
  <c r="D755" i="20" s="1"/>
  <c r="E755" i="20" s="1"/>
  <c r="F755" i="20" s="1"/>
  <c r="D756" i="20" s="1"/>
  <c r="E756" i="20" s="1"/>
  <c r="F756" i="20" s="1"/>
  <c r="D757" i="20" s="1"/>
  <c r="E757" i="20" s="1"/>
  <c r="F757" i="20" s="1"/>
  <c r="D758" i="20" s="1"/>
  <c r="E758" i="20" s="1"/>
  <c r="F758" i="20" s="1"/>
  <c r="D759" i="20" s="1"/>
  <c r="E759" i="20" s="1"/>
  <c r="F759" i="20" s="1"/>
  <c r="D760" i="20" s="1"/>
  <c r="E760" i="20" s="1"/>
  <c r="F760" i="20" s="1"/>
  <c r="D761" i="20" s="1"/>
  <c r="E761" i="20" s="1"/>
  <c r="F761" i="20" s="1"/>
  <c r="D762" i="20" s="1"/>
  <c r="E762" i="20" s="1"/>
  <c r="F762" i="20" s="1"/>
  <c r="D763" i="20" s="1"/>
  <c r="E763" i="20" s="1"/>
  <c r="F763" i="20" s="1"/>
  <c r="D764" i="20" s="1"/>
  <c r="E764" i="20" s="1"/>
  <c r="F764" i="20" s="1"/>
  <c r="D765" i="20" s="1"/>
  <c r="E765" i="20" s="1"/>
  <c r="F765" i="20" s="1"/>
  <c r="D766" i="20" s="1"/>
  <c r="E766" i="20" s="1"/>
  <c r="F766" i="20" s="1"/>
  <c r="D767" i="20" s="1"/>
  <c r="E767" i="20" s="1"/>
  <c r="F767" i="20" s="1"/>
  <c r="D768" i="20" s="1"/>
  <c r="E768" i="20" s="1"/>
  <c r="F768" i="20" s="1"/>
  <c r="D769" i="20" s="1"/>
  <c r="E769" i="20" s="1"/>
  <c r="F769" i="20" s="1"/>
  <c r="D770" i="20" s="1"/>
  <c r="E770" i="20" s="1"/>
  <c r="F770" i="20" s="1"/>
  <c r="D771" i="20" s="1"/>
  <c r="E771" i="20" s="1"/>
  <c r="F771" i="20" s="1"/>
  <c r="D772" i="20" s="1"/>
  <c r="E772" i="20" s="1"/>
  <c r="F772" i="20" s="1"/>
  <c r="D773" i="20" s="1"/>
  <c r="E773" i="20" s="1"/>
  <c r="F773" i="20" s="1"/>
  <c r="D774" i="20" s="1"/>
  <c r="E774" i="20" s="1"/>
  <c r="F774" i="20" s="1"/>
  <c r="D775" i="20" s="1"/>
  <c r="E775" i="20" s="1"/>
  <c r="F775" i="20" s="1"/>
  <c r="D776" i="20" s="1"/>
  <c r="E776" i="20" s="1"/>
  <c r="F776" i="20" s="1"/>
  <c r="D777" i="20" s="1"/>
  <c r="E777" i="20" s="1"/>
  <c r="F777" i="20" s="1"/>
  <c r="D778" i="20" s="1"/>
  <c r="E778" i="20" s="1"/>
  <c r="F778" i="20" s="1"/>
  <c r="D779" i="20" s="1"/>
  <c r="E779" i="20" s="1"/>
  <c r="F779" i="20" s="1"/>
  <c r="D780" i="20" s="1"/>
  <c r="E780" i="20" s="1"/>
  <c r="F780" i="20" s="1"/>
  <c r="D781" i="20" s="1"/>
  <c r="E781" i="20" s="1"/>
  <c r="F781" i="20" s="1"/>
  <c r="D782" i="20" s="1"/>
  <c r="E782" i="20" s="1"/>
  <c r="F782" i="20" s="1"/>
  <c r="D783" i="20" s="1"/>
  <c r="E783" i="20" s="1"/>
  <c r="F783" i="20" s="1"/>
  <c r="D784" i="20" s="1"/>
  <c r="E784" i="20" s="1"/>
  <c r="F784" i="20" s="1"/>
  <c r="D785" i="20" s="1"/>
  <c r="D1078" i="20"/>
  <c r="I1079" i="20" s="1"/>
  <c r="E1082" i="20" s="1"/>
  <c r="F1082" i="20" s="1"/>
  <c r="D1083" i="20" s="1"/>
  <c r="E1083" i="20" s="1"/>
  <c r="F1083" i="20" s="1"/>
  <c r="D1084" i="20" s="1"/>
  <c r="E1084" i="20" s="1"/>
  <c r="F1084" i="20" s="1"/>
  <c r="D1085" i="20" s="1"/>
  <c r="E1085" i="20" s="1"/>
  <c r="F1085" i="20" s="1"/>
  <c r="D1086" i="20" s="1"/>
  <c r="E1086" i="20" s="1"/>
  <c r="F1086" i="20" s="1"/>
  <c r="D1087" i="20" s="1"/>
  <c r="E1087" i="20" s="1"/>
  <c r="F1087" i="20" s="1"/>
  <c r="D1088" i="20" s="1"/>
  <c r="E1088" i="20" s="1"/>
  <c r="F1088" i="20" s="1"/>
  <c r="D1089" i="20" s="1"/>
  <c r="E1089" i="20" s="1"/>
  <c r="F1089" i="20" s="1"/>
  <c r="D1090" i="20" s="1"/>
  <c r="E1090" i="20" s="1"/>
  <c r="F1090" i="20" s="1"/>
  <c r="D1091" i="20" s="1"/>
  <c r="E1091" i="20" s="1"/>
  <c r="F1091" i="20" s="1"/>
  <c r="D1092" i="20" s="1"/>
  <c r="E1092" i="20" s="1"/>
  <c r="F1092" i="20" s="1"/>
  <c r="D1093" i="20" s="1"/>
  <c r="E1093" i="20" s="1"/>
  <c r="F1093" i="20" s="1"/>
  <c r="D1094" i="20" s="1"/>
  <c r="E1094" i="20" s="1"/>
  <c r="F1094" i="20" s="1"/>
  <c r="D1095" i="20" s="1"/>
  <c r="E1095" i="20" s="1"/>
  <c r="F1095" i="20" s="1"/>
  <c r="D1096" i="20" s="1"/>
  <c r="E1096" i="20" s="1"/>
  <c r="F1096" i="20" s="1"/>
  <c r="D1097" i="20" s="1"/>
  <c r="E1097" i="20" s="1"/>
  <c r="F1097" i="20" s="1"/>
  <c r="D1098" i="20" s="1"/>
  <c r="E1098" i="20" s="1"/>
  <c r="F1098" i="20" s="1"/>
  <c r="D1099" i="20" s="1"/>
  <c r="E1099" i="20" s="1"/>
  <c r="F1099" i="20" s="1"/>
  <c r="D1100" i="20" s="1"/>
  <c r="E1100" i="20" s="1"/>
  <c r="F1100" i="20" s="1"/>
  <c r="D1101" i="20" s="1"/>
  <c r="E1101" i="20" s="1"/>
  <c r="F1101" i="20" s="1"/>
  <c r="D1102" i="20" s="1"/>
  <c r="E1102" i="20" s="1"/>
  <c r="F1102" i="20" s="1"/>
  <c r="D1103" i="20" s="1"/>
  <c r="E1103" i="20" s="1"/>
  <c r="F1103" i="20" s="1"/>
  <c r="D1104" i="20" s="1"/>
  <c r="E1104" i="20" s="1"/>
  <c r="F1104" i="20" s="1"/>
  <c r="D1105" i="20" s="1"/>
  <c r="E1105" i="20" s="1"/>
  <c r="F1105" i="20" s="1"/>
  <c r="D1106" i="20" s="1"/>
  <c r="E1106" i="20" s="1"/>
  <c r="F1106" i="20" s="1"/>
  <c r="D1107" i="20" s="1"/>
  <c r="E1107" i="20" s="1"/>
  <c r="F1107" i="20" s="1"/>
  <c r="D1108" i="20" s="1"/>
  <c r="E1108" i="20" s="1"/>
  <c r="F1108" i="20" s="1"/>
  <c r="D1109" i="20" s="1"/>
  <c r="E1109" i="20" s="1"/>
  <c r="F1109" i="20" s="1"/>
  <c r="D1110" i="20" s="1"/>
  <c r="E1110" i="20" s="1"/>
  <c r="F1110" i="20" s="1"/>
  <c r="D1111" i="20" s="1"/>
  <c r="E1111" i="20" s="1"/>
  <c r="F1111" i="20" s="1"/>
  <c r="D1112" i="20" s="1"/>
  <c r="E1112" i="20" s="1"/>
  <c r="F1112" i="20" s="1"/>
  <c r="D1113" i="20" s="1"/>
  <c r="E1113" i="20" s="1"/>
  <c r="F1113" i="20" s="1"/>
  <c r="D1114" i="20" s="1"/>
  <c r="E1114" i="20" s="1"/>
  <c r="F1114" i="20" s="1"/>
  <c r="D1115" i="20" s="1"/>
  <c r="E1115" i="20" s="1"/>
  <c r="F1115" i="20" s="1"/>
  <c r="D1116" i="20" s="1"/>
  <c r="E1116" i="20" s="1"/>
  <c r="F1116" i="20" s="1"/>
  <c r="D1117" i="20" s="1"/>
  <c r="E1117" i="20" s="1"/>
  <c r="F1117" i="20" s="1"/>
  <c r="D1118" i="20" s="1"/>
  <c r="E1118" i="20" s="1"/>
  <c r="F1118" i="20" s="1"/>
  <c r="D1119" i="20" s="1"/>
  <c r="E1119" i="20" s="1"/>
  <c r="F1119" i="20" s="1"/>
  <c r="D1120" i="20" s="1"/>
  <c r="E1120" i="20" s="1"/>
  <c r="F1120" i="20" s="1"/>
  <c r="D1121" i="20" s="1"/>
  <c r="E1121" i="20" s="1"/>
  <c r="F1121" i="20" s="1"/>
  <c r="D1122" i="20" s="1"/>
  <c r="E1122" i="20" s="1"/>
  <c r="F1122" i="20" s="1"/>
  <c r="D1123" i="20" s="1"/>
  <c r="E1123" i="20" s="1"/>
  <c r="F1123" i="20" s="1"/>
  <c r="D1124" i="20" s="1"/>
  <c r="E1124" i="20" s="1"/>
  <c r="F1124" i="20" s="1"/>
  <c r="D1125" i="20" s="1"/>
  <c r="E1125" i="20" s="1"/>
  <c r="F1125" i="20" s="1"/>
  <c r="D1126" i="20" s="1"/>
  <c r="E1126" i="20" s="1"/>
  <c r="F1126" i="20" s="1"/>
  <c r="D1127" i="20" s="1"/>
  <c r="E1127" i="20" s="1"/>
  <c r="F1127" i="20" s="1"/>
  <c r="D1128" i="20" s="1"/>
  <c r="E1128" i="20" s="1"/>
  <c r="F1128" i="20" s="1"/>
  <c r="D1129" i="20" s="1"/>
  <c r="E1129" i="20" s="1"/>
  <c r="F1129" i="20" s="1"/>
  <c r="D1130" i="20" s="1"/>
  <c r="E1130" i="20" s="1"/>
  <c r="F1130" i="20" s="1"/>
  <c r="D1131" i="20" s="1"/>
  <c r="E1131" i="20" s="1"/>
  <c r="F1131" i="20" s="1"/>
  <c r="D1132" i="20" s="1"/>
  <c r="E1132" i="20" s="1"/>
  <c r="F1132" i="20" s="1"/>
  <c r="D1133" i="20" s="1"/>
  <c r="E1133" i="20" s="1"/>
  <c r="F1133" i="20" s="1"/>
  <c r="D1134" i="20" s="1"/>
  <c r="E1134" i="20" s="1"/>
  <c r="F1134" i="20" s="1"/>
  <c r="D1135" i="20" s="1"/>
  <c r="E1135" i="20" s="1"/>
  <c r="F1135" i="20" s="1"/>
  <c r="D1136" i="20" s="1"/>
  <c r="E1136" i="20" s="1"/>
  <c r="F1136" i="20" s="1"/>
  <c r="D1137" i="20" s="1"/>
  <c r="E1137" i="20" s="1"/>
  <c r="F1137" i="20" s="1"/>
  <c r="D1138" i="20" s="1"/>
  <c r="E1138" i="20" s="1"/>
  <c r="F1138" i="20" s="1"/>
  <c r="D1139" i="20" s="1"/>
  <c r="E1139" i="20" s="1"/>
  <c r="F1139" i="20" s="1"/>
  <c r="D1140" i="20" s="1"/>
  <c r="E1140" i="20" s="1"/>
  <c r="F1140" i="20" s="1"/>
  <c r="D1141" i="20" s="1"/>
  <c r="D633" i="20"/>
  <c r="I634" i="20" s="1"/>
  <c r="E637" i="20" s="1"/>
  <c r="F637" i="20" s="1"/>
  <c r="D638" i="20" s="1"/>
  <c r="E638" i="20" s="1"/>
  <c r="F638" i="20" s="1"/>
  <c r="D639" i="20" s="1"/>
  <c r="E639" i="20" s="1"/>
  <c r="F639" i="20" s="1"/>
  <c r="D640" i="20" s="1"/>
  <c r="E640" i="20" s="1"/>
  <c r="F640" i="20" s="1"/>
  <c r="D641" i="20" s="1"/>
  <c r="E641" i="20" s="1"/>
  <c r="F641" i="20" s="1"/>
  <c r="D642" i="20" s="1"/>
  <c r="E642" i="20" s="1"/>
  <c r="F642" i="20" s="1"/>
  <c r="D643" i="20" s="1"/>
  <c r="E643" i="20" s="1"/>
  <c r="F643" i="20" s="1"/>
  <c r="D644" i="20" s="1"/>
  <c r="E644" i="20" s="1"/>
  <c r="F644" i="20" s="1"/>
  <c r="D645" i="20" s="1"/>
  <c r="E645" i="20" s="1"/>
  <c r="F645" i="20" s="1"/>
  <c r="D646" i="20" s="1"/>
  <c r="E646" i="20" s="1"/>
  <c r="F646" i="20" s="1"/>
  <c r="D647" i="20" s="1"/>
  <c r="E647" i="20" s="1"/>
  <c r="F647" i="20" s="1"/>
  <c r="D648" i="20" s="1"/>
  <c r="E648" i="20" s="1"/>
  <c r="F648" i="20" s="1"/>
  <c r="D649" i="20" s="1"/>
  <c r="E649" i="20" s="1"/>
  <c r="F649" i="20" s="1"/>
  <c r="D650" i="20" s="1"/>
  <c r="E650" i="20" s="1"/>
  <c r="F650" i="20" s="1"/>
  <c r="D651" i="20" s="1"/>
  <c r="E651" i="20" s="1"/>
  <c r="F651" i="20" s="1"/>
  <c r="D652" i="20" s="1"/>
  <c r="E652" i="20" s="1"/>
  <c r="F652" i="20" s="1"/>
  <c r="D653" i="20" s="1"/>
  <c r="E653" i="20" s="1"/>
  <c r="F653" i="20" s="1"/>
  <c r="D654" i="20" s="1"/>
  <c r="E654" i="20" s="1"/>
  <c r="F654" i="20" s="1"/>
  <c r="D655" i="20" s="1"/>
  <c r="E655" i="20" s="1"/>
  <c r="F655" i="20" s="1"/>
  <c r="D656" i="20" s="1"/>
  <c r="E656" i="20" s="1"/>
  <c r="F656" i="20" s="1"/>
  <c r="D657" i="20" s="1"/>
  <c r="E657" i="20" s="1"/>
  <c r="F657" i="20" s="1"/>
  <c r="D658" i="20" s="1"/>
  <c r="E658" i="20" s="1"/>
  <c r="F658" i="20" s="1"/>
  <c r="D659" i="20" s="1"/>
  <c r="E659" i="20" s="1"/>
  <c r="F659" i="20" s="1"/>
  <c r="D660" i="20" s="1"/>
  <c r="E660" i="20" s="1"/>
  <c r="F660" i="20" s="1"/>
  <c r="D661" i="20" s="1"/>
  <c r="E661" i="20" s="1"/>
  <c r="F661" i="20" s="1"/>
  <c r="D662" i="20" s="1"/>
  <c r="E662" i="20" s="1"/>
  <c r="F662" i="20" s="1"/>
  <c r="D663" i="20" s="1"/>
  <c r="E663" i="20" s="1"/>
  <c r="F663" i="20" s="1"/>
  <c r="D664" i="20" s="1"/>
  <c r="E664" i="20" s="1"/>
  <c r="F664" i="20" s="1"/>
  <c r="D665" i="20" s="1"/>
  <c r="E665" i="20" s="1"/>
  <c r="F665" i="20" s="1"/>
  <c r="D666" i="20" s="1"/>
  <c r="E666" i="20" s="1"/>
  <c r="F666" i="20" s="1"/>
  <c r="D667" i="20" s="1"/>
  <c r="E667" i="20" s="1"/>
  <c r="F667" i="20" s="1"/>
  <c r="D668" i="20" s="1"/>
  <c r="E668" i="20" s="1"/>
  <c r="F668" i="20" s="1"/>
  <c r="D669" i="20" s="1"/>
  <c r="E669" i="20" s="1"/>
  <c r="F669" i="20" s="1"/>
  <c r="D670" i="20" s="1"/>
  <c r="E670" i="20" s="1"/>
  <c r="F670" i="20" s="1"/>
  <c r="D671" i="20" s="1"/>
  <c r="E671" i="20" s="1"/>
  <c r="F671" i="20" s="1"/>
  <c r="D672" i="20" s="1"/>
  <c r="E672" i="20" s="1"/>
  <c r="F672" i="20" s="1"/>
  <c r="D673" i="20" s="1"/>
  <c r="E673" i="20" s="1"/>
  <c r="F673" i="20" s="1"/>
  <c r="D674" i="20" s="1"/>
  <c r="E674" i="20" s="1"/>
  <c r="F674" i="20" s="1"/>
  <c r="D675" i="20" s="1"/>
  <c r="E675" i="20" s="1"/>
  <c r="F675" i="20" s="1"/>
  <c r="D676" i="20" s="1"/>
  <c r="E676" i="20" s="1"/>
  <c r="F676" i="20" s="1"/>
  <c r="D677" i="20" s="1"/>
  <c r="E677" i="20" s="1"/>
  <c r="F677" i="20" s="1"/>
  <c r="D678" i="20" s="1"/>
  <c r="E678" i="20" s="1"/>
  <c r="F678" i="20" s="1"/>
  <c r="D679" i="20" s="1"/>
  <c r="E679" i="20" s="1"/>
  <c r="F679" i="20" s="1"/>
  <c r="D680" i="20" s="1"/>
  <c r="E680" i="20" s="1"/>
  <c r="F680" i="20" s="1"/>
  <c r="D681" i="20" s="1"/>
  <c r="E681" i="20" s="1"/>
  <c r="F681" i="20" s="1"/>
  <c r="D682" i="20" s="1"/>
  <c r="E682" i="20" s="1"/>
  <c r="F682" i="20" s="1"/>
  <c r="D683" i="20" s="1"/>
  <c r="E683" i="20" s="1"/>
  <c r="F683" i="20" s="1"/>
  <c r="D684" i="20" s="1"/>
  <c r="E684" i="20" s="1"/>
  <c r="F684" i="20" s="1"/>
  <c r="D685" i="20" s="1"/>
  <c r="E685" i="20" s="1"/>
  <c r="F685" i="20" s="1"/>
  <c r="D686" i="20" s="1"/>
  <c r="E686" i="20" s="1"/>
  <c r="F686" i="20" s="1"/>
  <c r="D687" i="20" s="1"/>
  <c r="E687" i="20" s="1"/>
  <c r="F687" i="20" s="1"/>
  <c r="D688" i="20" s="1"/>
  <c r="E688" i="20" s="1"/>
  <c r="F688" i="20" s="1"/>
  <c r="D689" i="20" s="1"/>
  <c r="E689" i="20" s="1"/>
  <c r="F689" i="20" s="1"/>
  <c r="D690" i="20" s="1"/>
  <c r="E690" i="20" s="1"/>
  <c r="F690" i="20" s="1"/>
  <c r="D691" i="20" s="1"/>
  <c r="E691" i="20" s="1"/>
  <c r="F691" i="20" s="1"/>
  <c r="D692" i="20" s="1"/>
  <c r="E692" i="20" s="1"/>
  <c r="F692" i="20" s="1"/>
  <c r="D693" i="20" s="1"/>
  <c r="E693" i="20" s="1"/>
  <c r="F693" i="20" s="1"/>
  <c r="D694" i="20" s="1"/>
  <c r="E694" i="20" s="1"/>
  <c r="F694" i="20" s="1"/>
  <c r="D695" i="20" s="1"/>
  <c r="E695" i="20" s="1"/>
  <c r="F695" i="20" s="1"/>
  <c r="D696" i="20" s="1"/>
  <c r="D366" i="20"/>
  <c r="I367" i="20" s="1"/>
  <c r="E370" i="20" s="1"/>
  <c r="F370" i="20" s="1"/>
  <c r="D371" i="20" s="1"/>
  <c r="E371" i="20" s="1"/>
  <c r="F371" i="20" s="1"/>
  <c r="D372" i="20" s="1"/>
  <c r="E372" i="20" s="1"/>
  <c r="F372" i="20" s="1"/>
  <c r="D373" i="20" s="1"/>
  <c r="E373" i="20" s="1"/>
  <c r="F373" i="20" s="1"/>
  <c r="D374" i="20" s="1"/>
  <c r="E374" i="20" s="1"/>
  <c r="F374" i="20" s="1"/>
  <c r="D375" i="20" s="1"/>
  <c r="E375" i="20" s="1"/>
  <c r="F375" i="20" s="1"/>
  <c r="D376" i="20" s="1"/>
  <c r="E376" i="20" s="1"/>
  <c r="F376" i="20" s="1"/>
  <c r="D377" i="20" s="1"/>
  <c r="E377" i="20" s="1"/>
  <c r="F377" i="20" s="1"/>
  <c r="D378" i="20" s="1"/>
  <c r="E378" i="20" s="1"/>
  <c r="F378" i="20" s="1"/>
  <c r="D379" i="20" s="1"/>
  <c r="E379" i="20" s="1"/>
  <c r="F379" i="20" s="1"/>
  <c r="D380" i="20" s="1"/>
  <c r="E380" i="20" s="1"/>
  <c r="F380" i="20" s="1"/>
  <c r="D381" i="20" s="1"/>
  <c r="E381" i="20" s="1"/>
  <c r="F381" i="20" s="1"/>
  <c r="D382" i="20" s="1"/>
  <c r="E382" i="20" s="1"/>
  <c r="F382" i="20" s="1"/>
  <c r="D383" i="20" s="1"/>
  <c r="E383" i="20" s="1"/>
  <c r="F383" i="20" s="1"/>
  <c r="D384" i="20" s="1"/>
  <c r="E384" i="20" s="1"/>
  <c r="F384" i="20" s="1"/>
  <c r="D385" i="20" s="1"/>
  <c r="E385" i="20" s="1"/>
  <c r="F385" i="20" s="1"/>
  <c r="D386" i="20" s="1"/>
  <c r="E386" i="20" s="1"/>
  <c r="F386" i="20" s="1"/>
  <c r="D387" i="20" s="1"/>
  <c r="E387" i="20" s="1"/>
  <c r="F387" i="20" s="1"/>
  <c r="D388" i="20" s="1"/>
  <c r="E388" i="20" s="1"/>
  <c r="F388" i="20" s="1"/>
  <c r="D389" i="20" s="1"/>
  <c r="E389" i="20" s="1"/>
  <c r="F389" i="20" s="1"/>
  <c r="D390" i="20" s="1"/>
  <c r="E390" i="20" s="1"/>
  <c r="F390" i="20" s="1"/>
  <c r="D391" i="20" s="1"/>
  <c r="E391" i="20" s="1"/>
  <c r="F391" i="20" s="1"/>
  <c r="D392" i="20" s="1"/>
  <c r="E392" i="20" s="1"/>
  <c r="F392" i="20" s="1"/>
  <c r="D393" i="20" s="1"/>
  <c r="E393" i="20" s="1"/>
  <c r="F393" i="20" s="1"/>
  <c r="D394" i="20" s="1"/>
  <c r="E394" i="20" s="1"/>
  <c r="F394" i="20" s="1"/>
  <c r="D395" i="20" s="1"/>
  <c r="E395" i="20" s="1"/>
  <c r="F395" i="20" s="1"/>
  <c r="D396" i="20" s="1"/>
  <c r="E396" i="20" s="1"/>
  <c r="F396" i="20" s="1"/>
  <c r="D397" i="20" s="1"/>
  <c r="E397" i="20" s="1"/>
  <c r="F397" i="20" s="1"/>
  <c r="D398" i="20" s="1"/>
  <c r="E398" i="20" s="1"/>
  <c r="F398" i="20" s="1"/>
  <c r="D399" i="20" s="1"/>
  <c r="E399" i="20" s="1"/>
  <c r="F399" i="20" s="1"/>
  <c r="D400" i="20" s="1"/>
  <c r="E400" i="20" s="1"/>
  <c r="F400" i="20" s="1"/>
  <c r="D401" i="20" s="1"/>
  <c r="E401" i="20" s="1"/>
  <c r="F401" i="20" s="1"/>
  <c r="D402" i="20" s="1"/>
  <c r="E402" i="20" s="1"/>
  <c r="F402" i="20" s="1"/>
  <c r="D403" i="20" s="1"/>
  <c r="E403" i="20" s="1"/>
  <c r="F403" i="20" s="1"/>
  <c r="D404" i="20" s="1"/>
  <c r="E404" i="20" s="1"/>
  <c r="F404" i="20" s="1"/>
  <c r="D405" i="20" s="1"/>
  <c r="E405" i="20" s="1"/>
  <c r="F405" i="20" s="1"/>
  <c r="D406" i="20" s="1"/>
  <c r="E406" i="20" s="1"/>
  <c r="F406" i="20" s="1"/>
  <c r="D407" i="20" s="1"/>
  <c r="E407" i="20" s="1"/>
  <c r="F407" i="20" s="1"/>
  <c r="D408" i="20" s="1"/>
  <c r="E408" i="20" s="1"/>
  <c r="F408" i="20" s="1"/>
  <c r="D409" i="20" s="1"/>
  <c r="E409" i="20" s="1"/>
  <c r="F409" i="20" s="1"/>
  <c r="D410" i="20" s="1"/>
  <c r="E410" i="20" s="1"/>
  <c r="F410" i="20" s="1"/>
  <c r="D411" i="20" s="1"/>
  <c r="E411" i="20" s="1"/>
  <c r="F411" i="20" s="1"/>
  <c r="D412" i="20" s="1"/>
  <c r="E412" i="20" s="1"/>
  <c r="F412" i="20" s="1"/>
  <c r="D413" i="20" s="1"/>
  <c r="E413" i="20" s="1"/>
  <c r="F413" i="20" s="1"/>
  <c r="D414" i="20" s="1"/>
  <c r="E414" i="20" s="1"/>
  <c r="F414" i="20" s="1"/>
  <c r="D415" i="20" s="1"/>
  <c r="E415" i="20" s="1"/>
  <c r="F415" i="20" s="1"/>
  <c r="D416" i="20" s="1"/>
  <c r="E416" i="20" s="1"/>
  <c r="F416" i="20" s="1"/>
  <c r="D417" i="20" s="1"/>
  <c r="E417" i="20" s="1"/>
  <c r="F417" i="20" s="1"/>
  <c r="D418" i="20" s="1"/>
  <c r="E418" i="20" s="1"/>
  <c r="F418" i="20" s="1"/>
  <c r="D419" i="20" s="1"/>
  <c r="E419" i="20" s="1"/>
  <c r="F419" i="20" s="1"/>
  <c r="D420" i="20" s="1"/>
  <c r="E420" i="20" s="1"/>
  <c r="F420" i="20" s="1"/>
  <c r="D421" i="20" s="1"/>
  <c r="E421" i="20" s="1"/>
  <c r="F421" i="20" s="1"/>
  <c r="D422" i="20" s="1"/>
  <c r="E422" i="20" s="1"/>
  <c r="F422" i="20" s="1"/>
  <c r="D423" i="20" s="1"/>
  <c r="E423" i="20" s="1"/>
  <c r="F423" i="20" s="1"/>
  <c r="D424" i="20" s="1"/>
  <c r="E424" i="20" s="1"/>
  <c r="F424" i="20" s="1"/>
  <c r="D425" i="20" s="1"/>
  <c r="E425" i="20" s="1"/>
  <c r="F425" i="20" s="1"/>
  <c r="D426" i="20" s="1"/>
  <c r="E426" i="20" s="1"/>
  <c r="F426" i="20" s="1"/>
  <c r="D427" i="20" s="1"/>
  <c r="E427" i="20" s="1"/>
  <c r="F427" i="20" s="1"/>
  <c r="D428" i="20" s="1"/>
  <c r="E428" i="20" s="1"/>
  <c r="F428" i="20" s="1"/>
  <c r="D429" i="20" s="1"/>
  <c r="D1168" i="20"/>
  <c r="I1169" i="20" s="1"/>
  <c r="E1172" i="20" s="1"/>
  <c r="F1172" i="20" s="1"/>
  <c r="D1173" i="20" s="1"/>
  <c r="E1173" i="20" s="1"/>
  <c r="F1173" i="20" s="1"/>
  <c r="D1174" i="20" s="1"/>
  <c r="D900" i="20"/>
  <c r="I901" i="20" s="1"/>
  <c r="E904" i="20" s="1"/>
  <c r="F904" i="20" s="1"/>
  <c r="D905" i="20" s="1"/>
  <c r="E905" i="20" s="1"/>
  <c r="F905" i="20" s="1"/>
  <c r="D906" i="20" s="1"/>
  <c r="E906" i="20" s="1"/>
  <c r="F906" i="20" s="1"/>
  <c r="D907" i="20" s="1"/>
  <c r="E907" i="20" s="1"/>
  <c r="F907" i="20" s="1"/>
  <c r="D908" i="20" s="1"/>
  <c r="E908" i="20" s="1"/>
  <c r="F908" i="20" s="1"/>
  <c r="D909" i="20" s="1"/>
  <c r="E909" i="20" s="1"/>
  <c r="F909" i="20" s="1"/>
  <c r="D910" i="20" s="1"/>
  <c r="E910" i="20" s="1"/>
  <c r="F910" i="20" s="1"/>
  <c r="D911" i="20" s="1"/>
  <c r="E911" i="20" s="1"/>
  <c r="F911" i="20" s="1"/>
  <c r="D912" i="20" s="1"/>
  <c r="E912" i="20" s="1"/>
  <c r="F912" i="20" s="1"/>
  <c r="D913" i="20" s="1"/>
  <c r="E913" i="20" s="1"/>
  <c r="F913" i="20" s="1"/>
  <c r="D914" i="20" s="1"/>
  <c r="E914" i="20" s="1"/>
  <c r="F914" i="20" s="1"/>
  <c r="D915" i="20" s="1"/>
  <c r="E915" i="20" s="1"/>
  <c r="F915" i="20" s="1"/>
  <c r="D916" i="20" s="1"/>
  <c r="E916" i="20" s="1"/>
  <c r="F916" i="20" s="1"/>
  <c r="D917" i="20" s="1"/>
  <c r="E917" i="20" s="1"/>
  <c r="F917" i="20" s="1"/>
  <c r="D918" i="20" s="1"/>
  <c r="E918" i="20" s="1"/>
  <c r="F918" i="20" s="1"/>
  <c r="D919" i="20" s="1"/>
  <c r="E919" i="20" s="1"/>
  <c r="F919" i="20" s="1"/>
  <c r="D920" i="20" s="1"/>
  <c r="E920" i="20" s="1"/>
  <c r="F920" i="20" s="1"/>
  <c r="D921" i="20" s="1"/>
  <c r="E921" i="20" s="1"/>
  <c r="F921" i="20" s="1"/>
  <c r="D922" i="20" s="1"/>
  <c r="E922" i="20" s="1"/>
  <c r="F922" i="20" s="1"/>
  <c r="D923" i="20" s="1"/>
  <c r="E923" i="20" s="1"/>
  <c r="F923" i="20" s="1"/>
  <c r="D924" i="20" s="1"/>
  <c r="E924" i="20" s="1"/>
  <c r="F924" i="20" s="1"/>
  <c r="D925" i="20" s="1"/>
  <c r="E925" i="20" s="1"/>
  <c r="F925" i="20" s="1"/>
  <c r="D926" i="20" s="1"/>
  <c r="E926" i="20" s="1"/>
  <c r="F926" i="20" s="1"/>
  <c r="D927" i="20" s="1"/>
  <c r="E927" i="20" s="1"/>
  <c r="F927" i="20" s="1"/>
  <c r="D928" i="20" s="1"/>
  <c r="E928" i="20" s="1"/>
  <c r="F928" i="20" s="1"/>
  <c r="D929" i="20" s="1"/>
  <c r="E929" i="20" s="1"/>
  <c r="F929" i="20" s="1"/>
  <c r="D930" i="20" s="1"/>
  <c r="E930" i="20" s="1"/>
  <c r="F930" i="20" s="1"/>
  <c r="D931" i="20" s="1"/>
  <c r="E931" i="20" s="1"/>
  <c r="F931" i="20" s="1"/>
  <c r="D932" i="20" s="1"/>
  <c r="E932" i="20" s="1"/>
  <c r="F932" i="20" s="1"/>
  <c r="D933" i="20" s="1"/>
  <c r="E933" i="20" s="1"/>
  <c r="F933" i="20" s="1"/>
  <c r="D934" i="20" s="1"/>
  <c r="E934" i="20" s="1"/>
  <c r="F934" i="20" s="1"/>
  <c r="D935" i="20" s="1"/>
  <c r="E935" i="20" s="1"/>
  <c r="F935" i="20" s="1"/>
  <c r="D936" i="20" s="1"/>
  <c r="E936" i="20" s="1"/>
  <c r="F936" i="20" s="1"/>
  <c r="D937" i="20" s="1"/>
  <c r="E937" i="20" s="1"/>
  <c r="F937" i="20" s="1"/>
  <c r="D938" i="20" s="1"/>
  <c r="E938" i="20" s="1"/>
  <c r="F938" i="20" s="1"/>
  <c r="D939" i="20" s="1"/>
  <c r="E939" i="20" s="1"/>
  <c r="F939" i="20" s="1"/>
  <c r="D940" i="20" s="1"/>
  <c r="E940" i="20" s="1"/>
  <c r="F940" i="20" s="1"/>
  <c r="D941" i="20" s="1"/>
  <c r="E941" i="20" s="1"/>
  <c r="F941" i="20" s="1"/>
  <c r="D942" i="20" s="1"/>
  <c r="E942" i="20" s="1"/>
  <c r="F942" i="20" s="1"/>
  <c r="D943" i="20" s="1"/>
  <c r="E943" i="20" s="1"/>
  <c r="F943" i="20" s="1"/>
  <c r="D944" i="20" s="1"/>
  <c r="E944" i="20" s="1"/>
  <c r="F944" i="20" s="1"/>
  <c r="D945" i="20" s="1"/>
  <c r="E945" i="20" s="1"/>
  <c r="F945" i="20" s="1"/>
  <c r="D946" i="20" s="1"/>
  <c r="E946" i="20" s="1"/>
  <c r="F946" i="20" s="1"/>
  <c r="D947" i="20" s="1"/>
  <c r="E947" i="20" s="1"/>
  <c r="F947" i="20" s="1"/>
  <c r="D948" i="20" s="1"/>
  <c r="E948" i="20" s="1"/>
  <c r="F948" i="20" s="1"/>
  <c r="D949" i="20" s="1"/>
  <c r="E949" i="20" s="1"/>
  <c r="F949" i="20" s="1"/>
  <c r="D950" i="20" s="1"/>
  <c r="E950" i="20" s="1"/>
  <c r="F950" i="20" s="1"/>
  <c r="D951" i="20" s="1"/>
  <c r="E951" i="20" s="1"/>
  <c r="F951" i="20" s="1"/>
  <c r="D952" i="20" s="1"/>
  <c r="E952" i="20" s="1"/>
  <c r="F952" i="20" s="1"/>
  <c r="D953" i="20" s="1"/>
  <c r="E953" i="20" s="1"/>
  <c r="F953" i="20" s="1"/>
  <c r="D954" i="20" s="1"/>
  <c r="E954" i="20" s="1"/>
  <c r="F954" i="20" s="1"/>
  <c r="D955" i="20" s="1"/>
  <c r="E955" i="20" s="1"/>
  <c r="F955" i="20" s="1"/>
  <c r="D956" i="20" s="1"/>
  <c r="E956" i="20" s="1"/>
  <c r="F956" i="20" s="1"/>
  <c r="D957" i="20" s="1"/>
  <c r="E957" i="20" s="1"/>
  <c r="F957" i="20" s="1"/>
  <c r="D958" i="20" s="1"/>
  <c r="E958" i="20" s="1"/>
  <c r="F958" i="20" s="1"/>
  <c r="D959" i="20" s="1"/>
  <c r="E959" i="20" s="1"/>
  <c r="F959" i="20" s="1"/>
  <c r="D960" i="20" s="1"/>
  <c r="E960" i="20" s="1"/>
  <c r="F960" i="20" s="1"/>
  <c r="D961" i="20" s="1"/>
  <c r="E961" i="20" s="1"/>
  <c r="F961" i="20" s="1"/>
  <c r="D962" i="20" s="1"/>
  <c r="E962" i="20" s="1"/>
  <c r="F962" i="20" s="1"/>
  <c r="D963" i="20" s="1"/>
  <c r="D277" i="20"/>
  <c r="I278" i="20" s="1"/>
  <c r="E281" i="20" s="1"/>
  <c r="F281" i="20" s="1"/>
  <c r="D282" i="20" s="1"/>
  <c r="E282" i="20" s="1"/>
  <c r="F282" i="20" s="1"/>
  <c r="D283" i="20" s="1"/>
  <c r="E283" i="20" s="1"/>
  <c r="F283" i="20" s="1"/>
  <c r="D284" i="20" s="1"/>
  <c r="E284" i="20" s="1"/>
  <c r="F284" i="20" s="1"/>
  <c r="D285" i="20" s="1"/>
  <c r="E285" i="20" s="1"/>
  <c r="F285" i="20" s="1"/>
  <c r="D286" i="20" s="1"/>
  <c r="E286" i="20" s="1"/>
  <c r="F286" i="20" s="1"/>
  <c r="D287" i="20" s="1"/>
  <c r="E287" i="20" s="1"/>
  <c r="F287" i="20" s="1"/>
  <c r="D288" i="20" s="1"/>
  <c r="E288" i="20" s="1"/>
  <c r="F288" i="20" s="1"/>
  <c r="D289" i="20" s="1"/>
  <c r="E289" i="20" s="1"/>
  <c r="F289" i="20" s="1"/>
  <c r="D290" i="20" s="1"/>
  <c r="E290" i="20" s="1"/>
  <c r="F290" i="20" s="1"/>
  <c r="D291" i="20" s="1"/>
  <c r="E291" i="20" s="1"/>
  <c r="F291" i="20" s="1"/>
  <c r="D292" i="20" s="1"/>
  <c r="E292" i="20" s="1"/>
  <c r="F292" i="20" s="1"/>
  <c r="D293" i="20" s="1"/>
  <c r="E293" i="20" s="1"/>
  <c r="F293" i="20" s="1"/>
  <c r="D294" i="20" s="1"/>
  <c r="E294" i="20" s="1"/>
  <c r="F294" i="20" s="1"/>
  <c r="D295" i="20" s="1"/>
  <c r="E295" i="20" s="1"/>
  <c r="F295" i="20" s="1"/>
  <c r="D296" i="20" s="1"/>
  <c r="E296" i="20" s="1"/>
  <c r="F296" i="20" s="1"/>
  <c r="D297" i="20" s="1"/>
  <c r="E297" i="20" s="1"/>
  <c r="F297" i="20" s="1"/>
  <c r="D298" i="20" s="1"/>
  <c r="E298" i="20" s="1"/>
  <c r="F298" i="20" s="1"/>
  <c r="D299" i="20" s="1"/>
  <c r="E299" i="20" s="1"/>
  <c r="F299" i="20" s="1"/>
  <c r="D300" i="20" s="1"/>
  <c r="E300" i="20" s="1"/>
  <c r="F300" i="20" s="1"/>
  <c r="D301" i="20" s="1"/>
  <c r="E301" i="20" s="1"/>
  <c r="F301" i="20" s="1"/>
  <c r="D302" i="20" s="1"/>
  <c r="E302" i="20" s="1"/>
  <c r="F302" i="20" s="1"/>
  <c r="D303" i="20" s="1"/>
  <c r="E303" i="20" s="1"/>
  <c r="F303" i="20" s="1"/>
  <c r="D304" i="20" s="1"/>
  <c r="E304" i="20" s="1"/>
  <c r="F304" i="20" s="1"/>
  <c r="D305" i="20" s="1"/>
  <c r="E305" i="20" s="1"/>
  <c r="F305" i="20" s="1"/>
  <c r="D306" i="20" s="1"/>
  <c r="E306" i="20" s="1"/>
  <c r="F306" i="20" s="1"/>
  <c r="D307" i="20" s="1"/>
  <c r="E307" i="20" s="1"/>
  <c r="F307" i="20" s="1"/>
  <c r="D308" i="20" s="1"/>
  <c r="E308" i="20" s="1"/>
  <c r="F308" i="20" s="1"/>
  <c r="D309" i="20" s="1"/>
  <c r="E309" i="20" s="1"/>
  <c r="F309" i="20" s="1"/>
  <c r="D310" i="20" s="1"/>
  <c r="E310" i="20" s="1"/>
  <c r="F310" i="20" s="1"/>
  <c r="D311" i="20" s="1"/>
  <c r="E311" i="20" s="1"/>
  <c r="F311" i="20" s="1"/>
  <c r="D312" i="20" s="1"/>
  <c r="E312" i="20" s="1"/>
  <c r="F312" i="20" s="1"/>
  <c r="D313" i="20" s="1"/>
  <c r="E313" i="20" s="1"/>
  <c r="F313" i="20" s="1"/>
  <c r="D314" i="20" s="1"/>
  <c r="E314" i="20" s="1"/>
  <c r="F314" i="20" s="1"/>
  <c r="D315" i="20" s="1"/>
  <c r="E315" i="20" s="1"/>
  <c r="F315" i="20" s="1"/>
  <c r="D316" i="20" s="1"/>
  <c r="E316" i="20" s="1"/>
  <c r="F316" i="20" s="1"/>
  <c r="D317" i="20" s="1"/>
  <c r="E317" i="20" s="1"/>
  <c r="F317" i="20" s="1"/>
  <c r="D318" i="20" s="1"/>
  <c r="E318" i="20" s="1"/>
  <c r="F318" i="20" s="1"/>
  <c r="D319" i="20" s="1"/>
  <c r="E319" i="20" s="1"/>
  <c r="F319" i="20" s="1"/>
  <c r="D320" i="20" s="1"/>
  <c r="E320" i="20" s="1"/>
  <c r="F320" i="20" s="1"/>
  <c r="D321" i="20" s="1"/>
  <c r="E321" i="20" s="1"/>
  <c r="F321" i="20" s="1"/>
  <c r="D322" i="20" s="1"/>
  <c r="E322" i="20" s="1"/>
  <c r="F322" i="20" s="1"/>
  <c r="D323" i="20" s="1"/>
  <c r="E323" i="20" s="1"/>
  <c r="F323" i="20" s="1"/>
  <c r="D324" i="20" s="1"/>
  <c r="E324" i="20" s="1"/>
  <c r="F324" i="20" s="1"/>
  <c r="D325" i="20" s="1"/>
  <c r="E325" i="20" s="1"/>
  <c r="F325" i="20" s="1"/>
  <c r="D326" i="20" s="1"/>
  <c r="E326" i="20" s="1"/>
  <c r="F326" i="20" s="1"/>
  <c r="D327" i="20" s="1"/>
  <c r="E327" i="20" s="1"/>
  <c r="F327" i="20" s="1"/>
  <c r="D328" i="20" s="1"/>
  <c r="E328" i="20" s="1"/>
  <c r="F328" i="20" s="1"/>
  <c r="D329" i="20" s="1"/>
  <c r="E329" i="20" s="1"/>
  <c r="F329" i="20" s="1"/>
  <c r="D330" i="20" s="1"/>
  <c r="E330" i="20" s="1"/>
  <c r="F330" i="20" s="1"/>
  <c r="D331" i="20" s="1"/>
  <c r="E331" i="20" s="1"/>
  <c r="F331" i="20" s="1"/>
  <c r="D332" i="20" s="1"/>
  <c r="E332" i="20" s="1"/>
  <c r="F332" i="20" s="1"/>
  <c r="D333" i="20" s="1"/>
  <c r="E333" i="20" s="1"/>
  <c r="F333" i="20" s="1"/>
  <c r="D334" i="20" s="1"/>
  <c r="E334" i="20" s="1"/>
  <c r="F334" i="20" s="1"/>
  <c r="D335" i="20" s="1"/>
  <c r="E335" i="20" s="1"/>
  <c r="F335" i="20" s="1"/>
  <c r="D336" i="20" s="1"/>
  <c r="E336" i="20" s="1"/>
  <c r="F336" i="20" s="1"/>
  <c r="D337" i="20" s="1"/>
  <c r="E337" i="20" s="1"/>
  <c r="F337" i="20" s="1"/>
  <c r="D338" i="20" s="1"/>
  <c r="E338" i="20" s="1"/>
  <c r="F338" i="20" s="1"/>
  <c r="D339" i="20" s="1"/>
  <c r="E339" i="20" s="1"/>
  <c r="F339" i="20" s="1"/>
  <c r="D340" i="20" s="1"/>
  <c r="D188" i="20"/>
  <c r="I189" i="20" s="1"/>
  <c r="E192" i="20" s="1"/>
  <c r="F192" i="20" s="1"/>
  <c r="D193" i="20" s="1"/>
  <c r="E193" i="20" s="1"/>
  <c r="F193" i="20" s="1"/>
  <c r="D194" i="20" s="1"/>
  <c r="E194" i="20" s="1"/>
  <c r="F194" i="20" s="1"/>
  <c r="D195" i="20" s="1"/>
  <c r="E195" i="20" s="1"/>
  <c r="F195" i="20" s="1"/>
  <c r="D196" i="20" s="1"/>
  <c r="E196" i="20" s="1"/>
  <c r="F196" i="20" s="1"/>
  <c r="D197" i="20" s="1"/>
  <c r="E197" i="20" s="1"/>
  <c r="F197" i="20" s="1"/>
  <c r="D198" i="20" s="1"/>
  <c r="E198" i="20" s="1"/>
  <c r="F198" i="20" s="1"/>
  <c r="D199" i="20" s="1"/>
  <c r="E199" i="20" s="1"/>
  <c r="F199" i="20" s="1"/>
  <c r="D200" i="20" s="1"/>
  <c r="E200" i="20" s="1"/>
  <c r="F200" i="20" s="1"/>
  <c r="D201" i="20" s="1"/>
  <c r="E201" i="20" s="1"/>
  <c r="F201" i="20" s="1"/>
  <c r="D202" i="20" s="1"/>
  <c r="E202" i="20" s="1"/>
  <c r="F202" i="20" s="1"/>
  <c r="D203" i="20" s="1"/>
  <c r="E203" i="20" s="1"/>
  <c r="F203" i="20" s="1"/>
  <c r="D204" i="20" s="1"/>
  <c r="E204" i="20" s="1"/>
  <c r="F204" i="20" s="1"/>
  <c r="D205" i="20" s="1"/>
  <c r="E205" i="20" s="1"/>
  <c r="F205" i="20" s="1"/>
  <c r="D206" i="20" s="1"/>
  <c r="E206" i="20" s="1"/>
  <c r="F206" i="20" s="1"/>
  <c r="D207" i="20" s="1"/>
  <c r="E207" i="20" s="1"/>
  <c r="F207" i="20" s="1"/>
  <c r="D208" i="20" s="1"/>
  <c r="E208" i="20" s="1"/>
  <c r="F208" i="20" s="1"/>
  <c r="D209" i="20" s="1"/>
  <c r="E209" i="20" s="1"/>
  <c r="F209" i="20" s="1"/>
  <c r="D210" i="20" s="1"/>
  <c r="E210" i="20" s="1"/>
  <c r="F210" i="20" s="1"/>
  <c r="D211" i="20" s="1"/>
  <c r="E211" i="20" s="1"/>
  <c r="F211" i="20" s="1"/>
  <c r="D212" i="20" s="1"/>
  <c r="E212" i="20" s="1"/>
  <c r="F212" i="20" s="1"/>
  <c r="D213" i="20" s="1"/>
  <c r="E213" i="20" s="1"/>
  <c r="F213" i="20" s="1"/>
  <c r="D214" i="20" s="1"/>
  <c r="E214" i="20" s="1"/>
  <c r="F214" i="20" s="1"/>
  <c r="D215" i="20" s="1"/>
  <c r="E215" i="20" s="1"/>
  <c r="F215" i="20" s="1"/>
  <c r="D216" i="20" s="1"/>
  <c r="E216" i="20" s="1"/>
  <c r="F216" i="20" s="1"/>
  <c r="D217" i="20" s="1"/>
  <c r="E217" i="20" s="1"/>
  <c r="F217" i="20" s="1"/>
  <c r="D218" i="20" s="1"/>
  <c r="E218" i="20" s="1"/>
  <c r="F218" i="20" s="1"/>
  <c r="D219" i="20" s="1"/>
  <c r="E219" i="20" s="1"/>
  <c r="F219" i="20" s="1"/>
  <c r="D220" i="20" s="1"/>
  <c r="E220" i="20" s="1"/>
  <c r="F220" i="20" s="1"/>
  <c r="D221" i="20" s="1"/>
  <c r="E221" i="20" s="1"/>
  <c r="F221" i="20" s="1"/>
  <c r="D222" i="20" s="1"/>
  <c r="E222" i="20" s="1"/>
  <c r="F222" i="20" s="1"/>
  <c r="D223" i="20" s="1"/>
  <c r="E223" i="20" s="1"/>
  <c r="F223" i="20" s="1"/>
  <c r="D224" i="20" s="1"/>
  <c r="E224" i="20" s="1"/>
  <c r="F224" i="20" s="1"/>
  <c r="D225" i="20" s="1"/>
  <c r="E225" i="20" s="1"/>
  <c r="F225" i="20" s="1"/>
  <c r="D226" i="20" s="1"/>
  <c r="E226" i="20" s="1"/>
  <c r="F226" i="20" s="1"/>
  <c r="D227" i="20" s="1"/>
  <c r="E227" i="20" s="1"/>
  <c r="F227" i="20" s="1"/>
  <c r="D228" i="20" s="1"/>
  <c r="E228" i="20" s="1"/>
  <c r="F228" i="20" s="1"/>
  <c r="D229" i="20" s="1"/>
  <c r="E229" i="20" s="1"/>
  <c r="F229" i="20" s="1"/>
  <c r="D230" i="20" s="1"/>
  <c r="E230" i="20" s="1"/>
  <c r="F230" i="20" s="1"/>
  <c r="D231" i="20" s="1"/>
  <c r="E231" i="20" s="1"/>
  <c r="F231" i="20" s="1"/>
  <c r="D232" i="20" s="1"/>
  <c r="E232" i="20" s="1"/>
  <c r="F232" i="20" s="1"/>
  <c r="D233" i="20" s="1"/>
  <c r="E233" i="20" s="1"/>
  <c r="F233" i="20" s="1"/>
  <c r="D234" i="20" s="1"/>
  <c r="E234" i="20" s="1"/>
  <c r="F234" i="20" s="1"/>
  <c r="D235" i="20" s="1"/>
  <c r="E235" i="20" s="1"/>
  <c r="F235" i="20" s="1"/>
  <c r="D236" i="20" s="1"/>
  <c r="E236" i="20" s="1"/>
  <c r="F236" i="20" s="1"/>
  <c r="D237" i="20" s="1"/>
  <c r="E237" i="20" s="1"/>
  <c r="F237" i="20" s="1"/>
  <c r="D238" i="20" s="1"/>
  <c r="E238" i="20" s="1"/>
  <c r="F238" i="20" s="1"/>
  <c r="D239" i="20" s="1"/>
  <c r="E239" i="20" s="1"/>
  <c r="F239" i="20" s="1"/>
  <c r="D240" i="20" s="1"/>
  <c r="E240" i="20" s="1"/>
  <c r="F240" i="20" s="1"/>
  <c r="D241" i="20" s="1"/>
  <c r="E241" i="20" s="1"/>
  <c r="F241" i="20" s="1"/>
  <c r="D242" i="20" s="1"/>
  <c r="E242" i="20" s="1"/>
  <c r="F242" i="20" s="1"/>
  <c r="D243" i="20" s="1"/>
  <c r="E243" i="20" s="1"/>
  <c r="F243" i="20" s="1"/>
  <c r="D244" i="20" s="1"/>
  <c r="E244" i="20" s="1"/>
  <c r="F244" i="20" s="1"/>
  <c r="D245" i="20" s="1"/>
  <c r="E245" i="20" s="1"/>
  <c r="F245" i="20" s="1"/>
  <c r="D246" i="20" s="1"/>
  <c r="E246" i="20" s="1"/>
  <c r="F246" i="20" s="1"/>
  <c r="D247" i="20" s="1"/>
  <c r="E247" i="20" s="1"/>
  <c r="F247" i="20" s="1"/>
  <c r="D248" i="20" s="1"/>
  <c r="E248" i="20" s="1"/>
  <c r="F248" i="20" s="1"/>
  <c r="D249" i="20" s="1"/>
  <c r="E249" i="20" s="1"/>
  <c r="F249" i="20" s="1"/>
  <c r="D250" i="20" s="1"/>
  <c r="E250" i="20" s="1"/>
  <c r="F250" i="20" s="1"/>
  <c r="D251" i="20" s="1"/>
  <c r="D989" i="20"/>
  <c r="I990" i="20" s="1"/>
  <c r="E993" i="20" s="1"/>
  <c r="D811" i="20"/>
  <c r="I812" i="20" s="1"/>
  <c r="E815" i="20" s="1"/>
  <c r="F815" i="20" s="1"/>
  <c r="D816" i="20" s="1"/>
  <c r="E816" i="20" s="1"/>
  <c r="F816" i="20" s="1"/>
  <c r="D817" i="20" s="1"/>
  <c r="E817" i="20" s="1"/>
  <c r="F817" i="20" s="1"/>
  <c r="D818" i="20" s="1"/>
  <c r="E818" i="20" s="1"/>
  <c r="F818" i="20" s="1"/>
  <c r="D819" i="20" s="1"/>
  <c r="E819" i="20" s="1"/>
  <c r="F819" i="20" s="1"/>
  <c r="D820" i="20" s="1"/>
  <c r="E820" i="20" s="1"/>
  <c r="F820" i="20" s="1"/>
  <c r="D821" i="20" s="1"/>
  <c r="E821" i="20" s="1"/>
  <c r="F821" i="20" s="1"/>
  <c r="D822" i="20" s="1"/>
  <c r="E822" i="20" s="1"/>
  <c r="F822" i="20" s="1"/>
  <c r="D823" i="20" s="1"/>
  <c r="E823" i="20" s="1"/>
  <c r="F823" i="20" s="1"/>
  <c r="D824" i="20" s="1"/>
  <c r="E824" i="20" s="1"/>
  <c r="F824" i="20" s="1"/>
  <c r="D825" i="20" s="1"/>
  <c r="E825" i="20" s="1"/>
  <c r="F825" i="20" s="1"/>
  <c r="D826" i="20" s="1"/>
  <c r="E826" i="20" s="1"/>
  <c r="F826" i="20" s="1"/>
  <c r="D827" i="20" s="1"/>
  <c r="E827" i="20" s="1"/>
  <c r="F827" i="20" s="1"/>
  <c r="D828" i="20" s="1"/>
  <c r="E828" i="20" s="1"/>
  <c r="F828" i="20" s="1"/>
  <c r="D829" i="20" s="1"/>
  <c r="E829" i="20" s="1"/>
  <c r="F829" i="20" s="1"/>
  <c r="D830" i="20" s="1"/>
  <c r="E830" i="20" s="1"/>
  <c r="F830" i="20" s="1"/>
  <c r="D831" i="20" s="1"/>
  <c r="E831" i="20" s="1"/>
  <c r="F831" i="20" s="1"/>
  <c r="D832" i="20" s="1"/>
  <c r="E832" i="20" s="1"/>
  <c r="F832" i="20" s="1"/>
  <c r="D833" i="20" s="1"/>
  <c r="E833" i="20" s="1"/>
  <c r="F833" i="20" s="1"/>
  <c r="D834" i="20" s="1"/>
  <c r="E834" i="20" s="1"/>
  <c r="F834" i="20" s="1"/>
  <c r="D835" i="20" s="1"/>
  <c r="E835" i="20" s="1"/>
  <c r="F835" i="20" s="1"/>
  <c r="D836" i="20" s="1"/>
  <c r="E836" i="20" s="1"/>
  <c r="F836" i="20" s="1"/>
  <c r="D837" i="20" s="1"/>
  <c r="E837" i="20" s="1"/>
  <c r="F837" i="20" s="1"/>
  <c r="D838" i="20" s="1"/>
  <c r="E838" i="20" s="1"/>
  <c r="F838" i="20" s="1"/>
  <c r="D839" i="20" s="1"/>
  <c r="E839" i="20" s="1"/>
  <c r="F839" i="20" s="1"/>
  <c r="D840" i="20" s="1"/>
  <c r="E840" i="20" s="1"/>
  <c r="F840" i="20" s="1"/>
  <c r="D841" i="20" s="1"/>
  <c r="E841" i="20" s="1"/>
  <c r="F841" i="20" s="1"/>
  <c r="D842" i="20" s="1"/>
  <c r="E842" i="20" s="1"/>
  <c r="F842" i="20" s="1"/>
  <c r="D843" i="20" s="1"/>
  <c r="E843" i="20" s="1"/>
  <c r="F843" i="20" s="1"/>
  <c r="D844" i="20" s="1"/>
  <c r="E844" i="20" s="1"/>
  <c r="F844" i="20" s="1"/>
  <c r="D845" i="20" s="1"/>
  <c r="E845" i="20" s="1"/>
  <c r="F845" i="20" s="1"/>
  <c r="D846" i="20" s="1"/>
  <c r="E846" i="20" s="1"/>
  <c r="F846" i="20" s="1"/>
  <c r="D847" i="20" s="1"/>
  <c r="E847" i="20" s="1"/>
  <c r="F847" i="20" s="1"/>
  <c r="D848" i="20" s="1"/>
  <c r="E848" i="20" s="1"/>
  <c r="F848" i="20" s="1"/>
  <c r="D849" i="20" s="1"/>
  <c r="E849" i="20" s="1"/>
  <c r="F849" i="20" s="1"/>
  <c r="D850" i="20" s="1"/>
  <c r="E850" i="20" s="1"/>
  <c r="F850" i="20" s="1"/>
  <c r="D851" i="20" s="1"/>
  <c r="E851" i="20" s="1"/>
  <c r="F851" i="20" s="1"/>
  <c r="D852" i="20" s="1"/>
  <c r="E852" i="20" s="1"/>
  <c r="F852" i="20" s="1"/>
  <c r="D853" i="20" s="1"/>
  <c r="E853" i="20" s="1"/>
  <c r="F853" i="20" s="1"/>
  <c r="D854" i="20" s="1"/>
  <c r="E854" i="20" s="1"/>
  <c r="F854" i="20" s="1"/>
  <c r="D855" i="20" s="1"/>
  <c r="E855" i="20" s="1"/>
  <c r="F855" i="20" s="1"/>
  <c r="D856" i="20" s="1"/>
  <c r="E856" i="20" s="1"/>
  <c r="F856" i="20" s="1"/>
  <c r="D857" i="20" s="1"/>
  <c r="E857" i="20" s="1"/>
  <c r="F857" i="20" s="1"/>
  <c r="D858" i="20" s="1"/>
  <c r="E858" i="20" s="1"/>
  <c r="F858" i="20" s="1"/>
  <c r="D859" i="20" s="1"/>
  <c r="E859" i="20" s="1"/>
  <c r="F859" i="20" s="1"/>
  <c r="D860" i="20" s="1"/>
  <c r="E860" i="20" s="1"/>
  <c r="F860" i="20" s="1"/>
  <c r="D861" i="20" s="1"/>
  <c r="E861" i="20" s="1"/>
  <c r="F861" i="20" s="1"/>
  <c r="D862" i="20" s="1"/>
  <c r="E862" i="20" s="1"/>
  <c r="F862" i="20" s="1"/>
  <c r="D863" i="20" s="1"/>
  <c r="E863" i="20" s="1"/>
  <c r="F863" i="20" s="1"/>
  <c r="D864" i="20" s="1"/>
  <c r="E864" i="20" s="1"/>
  <c r="F864" i="20" s="1"/>
  <c r="D865" i="20" s="1"/>
  <c r="E865" i="20" s="1"/>
  <c r="F865" i="20" s="1"/>
  <c r="D866" i="20" s="1"/>
  <c r="E866" i="20" s="1"/>
  <c r="F866" i="20" s="1"/>
  <c r="D867" i="20" s="1"/>
  <c r="E867" i="20" s="1"/>
  <c r="F867" i="20" s="1"/>
  <c r="D868" i="20" s="1"/>
  <c r="E868" i="20" s="1"/>
  <c r="F868" i="20" s="1"/>
  <c r="D869" i="20" s="1"/>
  <c r="E869" i="20" s="1"/>
  <c r="F869" i="20" s="1"/>
  <c r="D870" i="20" s="1"/>
  <c r="E870" i="20" s="1"/>
  <c r="F870" i="20" s="1"/>
  <c r="D871" i="20" s="1"/>
  <c r="E871" i="20" s="1"/>
  <c r="F871" i="20" s="1"/>
  <c r="D872" i="20" s="1"/>
  <c r="E872" i="20" s="1"/>
  <c r="F872" i="20" s="1"/>
  <c r="D873" i="20" s="1"/>
  <c r="E873" i="20" s="1"/>
  <c r="F873" i="20" s="1"/>
  <c r="D874" i="20" s="1"/>
  <c r="D1257" i="20"/>
  <c r="I1258" i="20" s="1"/>
  <c r="E1261" i="20" s="1"/>
  <c r="F1261" i="20" s="1"/>
  <c r="D1262" i="20" s="1"/>
  <c r="E1262" i="20" s="1"/>
  <c r="F1262" i="20" s="1"/>
  <c r="D1263" i="20" s="1"/>
  <c r="E1263" i="20" s="1"/>
  <c r="F1263" i="20" s="1"/>
  <c r="D1264" i="20" s="1"/>
  <c r="E1264" i="20" s="1"/>
  <c r="F1264" i="20" s="1"/>
  <c r="D1265" i="20" s="1"/>
  <c r="E1265" i="20" s="1"/>
  <c r="F1265" i="20" s="1"/>
  <c r="D1266" i="20" s="1"/>
  <c r="E1266" i="20" s="1"/>
  <c r="F1266" i="20" s="1"/>
  <c r="D1267" i="20" s="1"/>
  <c r="E1267" i="20" s="1"/>
  <c r="F1267" i="20" s="1"/>
  <c r="D1268" i="20" s="1"/>
  <c r="E1268" i="20" s="1"/>
  <c r="F1268" i="20" s="1"/>
  <c r="D1269" i="20" s="1"/>
  <c r="E1269" i="20" s="1"/>
  <c r="F1269" i="20" s="1"/>
  <c r="D1270" i="20" s="1"/>
  <c r="E1270" i="20" s="1"/>
  <c r="F1270" i="20" s="1"/>
  <c r="D1271" i="20" s="1"/>
  <c r="E1271" i="20" s="1"/>
  <c r="F1271" i="20" s="1"/>
  <c r="D1272" i="20" s="1"/>
  <c r="E1272" i="20" s="1"/>
  <c r="F1272" i="20" s="1"/>
  <c r="D1273" i="20" s="1"/>
  <c r="E1273" i="20" s="1"/>
  <c r="F1273" i="20" s="1"/>
  <c r="D1274" i="20" s="1"/>
  <c r="E1274" i="20" s="1"/>
  <c r="F1274" i="20" s="1"/>
  <c r="D1275" i="20" s="1"/>
  <c r="E1275" i="20" s="1"/>
  <c r="F1275" i="20" s="1"/>
  <c r="D1276" i="20" s="1"/>
  <c r="E1276" i="20" s="1"/>
  <c r="F1276" i="20" s="1"/>
  <c r="D1277" i="20" s="1"/>
  <c r="E1277" i="20" s="1"/>
  <c r="F1277" i="20" s="1"/>
  <c r="D1278" i="20" s="1"/>
  <c r="E1278" i="20" s="1"/>
  <c r="F1278" i="20" s="1"/>
  <c r="D1279" i="20" s="1"/>
  <c r="E1279" i="20" s="1"/>
  <c r="F1279" i="20" s="1"/>
  <c r="D1280" i="20" s="1"/>
  <c r="E1280" i="20" s="1"/>
  <c r="F1280" i="20" s="1"/>
  <c r="D1281" i="20" s="1"/>
  <c r="E1281" i="20" s="1"/>
  <c r="F1281" i="20" s="1"/>
  <c r="D1282" i="20" s="1"/>
  <c r="E1282" i="20" s="1"/>
  <c r="F1282" i="20" s="1"/>
  <c r="D1283" i="20" s="1"/>
  <c r="E1283" i="20" s="1"/>
  <c r="F1283" i="20" s="1"/>
  <c r="D1284" i="20" s="1"/>
  <c r="E1284" i="20" s="1"/>
  <c r="F1284" i="20" s="1"/>
  <c r="D1285" i="20" s="1"/>
  <c r="E1285" i="20" s="1"/>
  <c r="F1285" i="20" s="1"/>
  <c r="D1286" i="20" s="1"/>
  <c r="E1286" i="20" s="1"/>
  <c r="F1286" i="20" s="1"/>
  <c r="D1287" i="20" s="1"/>
  <c r="E1287" i="20" s="1"/>
  <c r="F1287" i="20" s="1"/>
  <c r="D1288" i="20" s="1"/>
  <c r="E1288" i="20" s="1"/>
  <c r="F1288" i="20" s="1"/>
  <c r="D1289" i="20" s="1"/>
  <c r="E1289" i="20" s="1"/>
  <c r="F1289" i="20" s="1"/>
  <c r="D1290" i="20" s="1"/>
  <c r="E1290" i="20" s="1"/>
  <c r="F1290" i="20" s="1"/>
  <c r="D1291" i="20" s="1"/>
  <c r="E1291" i="20" s="1"/>
  <c r="F1291" i="20" s="1"/>
  <c r="D1292" i="20" s="1"/>
  <c r="E1292" i="20" s="1"/>
  <c r="F1292" i="20" s="1"/>
  <c r="D1293" i="20" s="1"/>
  <c r="E1293" i="20" s="1"/>
  <c r="F1293" i="20" s="1"/>
  <c r="D1294" i="20" s="1"/>
  <c r="E1294" i="20" s="1"/>
  <c r="F1294" i="20" s="1"/>
  <c r="D1295" i="20" s="1"/>
  <c r="E1295" i="20" s="1"/>
  <c r="F1295" i="20" s="1"/>
  <c r="D1296" i="20" s="1"/>
  <c r="E1296" i="20" s="1"/>
  <c r="F1296" i="20" s="1"/>
  <c r="D1297" i="20" s="1"/>
  <c r="E1297" i="20" s="1"/>
  <c r="F1297" i="20" s="1"/>
  <c r="D1298" i="20" s="1"/>
  <c r="E1298" i="20" s="1"/>
  <c r="F1298" i="20" s="1"/>
  <c r="D1299" i="20" s="1"/>
  <c r="E1299" i="20" s="1"/>
  <c r="F1299" i="20" s="1"/>
  <c r="D1300" i="20" s="1"/>
  <c r="E1300" i="20" s="1"/>
  <c r="F1300" i="20" s="1"/>
  <c r="D1301" i="20" s="1"/>
  <c r="E1301" i="20" s="1"/>
  <c r="F1301" i="20" s="1"/>
  <c r="D1302" i="20" s="1"/>
  <c r="E1302" i="20" s="1"/>
  <c r="F1302" i="20" s="1"/>
  <c r="D1303" i="20" s="1"/>
  <c r="E1303" i="20" s="1"/>
  <c r="F1303" i="20" s="1"/>
  <c r="D1304" i="20" s="1"/>
  <c r="E1304" i="20" s="1"/>
  <c r="F1304" i="20" s="1"/>
  <c r="D1305" i="20" s="1"/>
  <c r="E1305" i="20" s="1"/>
  <c r="F1305" i="20" s="1"/>
  <c r="D1306" i="20" s="1"/>
  <c r="E1306" i="20" s="1"/>
  <c r="F1306" i="20" s="1"/>
  <c r="D1307" i="20" s="1"/>
  <c r="E1307" i="20" s="1"/>
  <c r="F1307" i="20" s="1"/>
  <c r="D1308" i="20" s="1"/>
  <c r="E1308" i="20" s="1"/>
  <c r="F1308" i="20" s="1"/>
  <c r="D1309" i="20" s="1"/>
  <c r="E1309" i="20" s="1"/>
  <c r="F1309" i="20" s="1"/>
  <c r="D1310" i="20" s="1"/>
  <c r="E1310" i="20" s="1"/>
  <c r="F1310" i="20" s="1"/>
  <c r="D1311" i="20" s="1"/>
  <c r="E1311" i="20" s="1"/>
  <c r="F1311" i="20" s="1"/>
  <c r="D1312" i="20" s="1"/>
  <c r="E1312" i="20" s="1"/>
  <c r="F1312" i="20" s="1"/>
  <c r="D1313" i="20" s="1"/>
  <c r="E1313" i="20" s="1"/>
  <c r="F1313" i="20" s="1"/>
  <c r="D1314" i="20" s="1"/>
  <c r="E1314" i="20" s="1"/>
  <c r="F1314" i="20" s="1"/>
  <c r="D1315" i="20" s="1"/>
  <c r="E1315" i="20" s="1"/>
  <c r="F1315" i="20" s="1"/>
  <c r="D1316" i="20" s="1"/>
  <c r="E1316" i="20" s="1"/>
  <c r="F1316" i="20" s="1"/>
  <c r="D1317" i="20" s="1"/>
  <c r="E1317" i="20" s="1"/>
  <c r="F1317" i="20" s="1"/>
  <c r="D1318" i="20" s="1"/>
  <c r="E1318" i="20" s="1"/>
  <c r="F1318" i="20" s="1"/>
  <c r="D1319" i="20" s="1"/>
  <c r="E1319" i="20" s="1"/>
  <c r="F1319" i="20" s="1"/>
  <c r="D1320" i="20" s="1"/>
  <c r="D544" i="20"/>
  <c r="I545" i="20" s="1"/>
  <c r="E548" i="20" s="1"/>
  <c r="F548" i="20" s="1"/>
  <c r="D549" i="20" s="1"/>
  <c r="E549" i="20" s="1"/>
  <c r="F549" i="20" s="1"/>
  <c r="D550" i="20" s="1"/>
  <c r="E550" i="20" s="1"/>
  <c r="F550" i="20" s="1"/>
  <c r="D551" i="20" s="1"/>
  <c r="E551" i="20" s="1"/>
  <c r="F551" i="20" s="1"/>
  <c r="D552" i="20" s="1"/>
  <c r="E552" i="20" s="1"/>
  <c r="F552" i="20" s="1"/>
  <c r="D553" i="20" s="1"/>
  <c r="E553" i="20" s="1"/>
  <c r="F553" i="20" s="1"/>
  <c r="D554" i="20" s="1"/>
  <c r="E554" i="20" s="1"/>
  <c r="F554" i="20" s="1"/>
  <c r="D555" i="20" s="1"/>
  <c r="E555" i="20" s="1"/>
  <c r="F555" i="20" s="1"/>
  <c r="D556" i="20" s="1"/>
  <c r="E556" i="20" s="1"/>
  <c r="F556" i="20" s="1"/>
  <c r="D557" i="20" s="1"/>
  <c r="E557" i="20" s="1"/>
  <c r="F557" i="20" s="1"/>
  <c r="D558" i="20" s="1"/>
  <c r="E558" i="20" s="1"/>
  <c r="F558" i="20" s="1"/>
  <c r="D559" i="20" s="1"/>
  <c r="E559" i="20" s="1"/>
  <c r="F559" i="20" s="1"/>
  <c r="D560" i="20" s="1"/>
  <c r="E560" i="20" s="1"/>
  <c r="F560" i="20" s="1"/>
  <c r="D561" i="20" s="1"/>
  <c r="E561" i="20" s="1"/>
  <c r="F561" i="20" s="1"/>
  <c r="D562" i="20" s="1"/>
  <c r="E562" i="20" s="1"/>
  <c r="F562" i="20" s="1"/>
  <c r="D563" i="20" s="1"/>
  <c r="E563" i="20" s="1"/>
  <c r="F563" i="20" s="1"/>
  <c r="D564" i="20" s="1"/>
  <c r="E564" i="20" s="1"/>
  <c r="F564" i="20" s="1"/>
  <c r="D565" i="20" s="1"/>
  <c r="E565" i="20" s="1"/>
  <c r="F565" i="20" s="1"/>
  <c r="D566" i="20" s="1"/>
  <c r="E566" i="20" s="1"/>
  <c r="F566" i="20" s="1"/>
  <c r="D567" i="20" s="1"/>
  <c r="E567" i="20" s="1"/>
  <c r="F567" i="20" s="1"/>
  <c r="D568" i="20" s="1"/>
  <c r="E568" i="20" s="1"/>
  <c r="F568" i="20" s="1"/>
  <c r="D569" i="20" s="1"/>
  <c r="E569" i="20" s="1"/>
  <c r="F569" i="20" s="1"/>
  <c r="D570" i="20" s="1"/>
  <c r="E570" i="20" s="1"/>
  <c r="F570" i="20" s="1"/>
  <c r="D571" i="20" s="1"/>
  <c r="E571" i="20" s="1"/>
  <c r="F571" i="20" s="1"/>
  <c r="D572" i="20" s="1"/>
  <c r="E572" i="20" s="1"/>
  <c r="F572" i="20" s="1"/>
  <c r="D573" i="20" s="1"/>
  <c r="E573" i="20" s="1"/>
  <c r="F573" i="20" s="1"/>
  <c r="D574" i="20" s="1"/>
  <c r="E574" i="20" s="1"/>
  <c r="F574" i="20" s="1"/>
  <c r="D575" i="20" s="1"/>
  <c r="E575" i="20" s="1"/>
  <c r="F575" i="20" s="1"/>
  <c r="D576" i="20" s="1"/>
  <c r="E576" i="20" s="1"/>
  <c r="F576" i="20" s="1"/>
  <c r="D577" i="20" s="1"/>
  <c r="E577" i="20" s="1"/>
  <c r="F577" i="20" s="1"/>
  <c r="D578" i="20" s="1"/>
  <c r="E578" i="20" s="1"/>
  <c r="F578" i="20" s="1"/>
  <c r="D579" i="20" s="1"/>
  <c r="E579" i="20" s="1"/>
  <c r="F579" i="20" s="1"/>
  <c r="D580" i="20" s="1"/>
  <c r="E580" i="20" s="1"/>
  <c r="F580" i="20" s="1"/>
  <c r="D581" i="20" s="1"/>
  <c r="E581" i="20" s="1"/>
  <c r="F581" i="20" s="1"/>
  <c r="D582" i="20" s="1"/>
  <c r="E582" i="20" s="1"/>
  <c r="F582" i="20" s="1"/>
  <c r="D583" i="20" s="1"/>
  <c r="E583" i="20" s="1"/>
  <c r="F583" i="20" s="1"/>
  <c r="D584" i="20" s="1"/>
  <c r="E584" i="20" s="1"/>
  <c r="F584" i="20" s="1"/>
  <c r="D585" i="20" s="1"/>
  <c r="E585" i="20" s="1"/>
  <c r="F585" i="20" s="1"/>
  <c r="D586" i="20" s="1"/>
  <c r="E586" i="20" s="1"/>
  <c r="F586" i="20" s="1"/>
  <c r="D587" i="20" s="1"/>
  <c r="E587" i="20" s="1"/>
  <c r="F587" i="20" s="1"/>
  <c r="D588" i="20" s="1"/>
  <c r="E588" i="20" s="1"/>
  <c r="F588" i="20" s="1"/>
  <c r="D589" i="20" s="1"/>
  <c r="E589" i="20" s="1"/>
  <c r="F589" i="20" s="1"/>
  <c r="D590" i="20" s="1"/>
  <c r="E590" i="20" s="1"/>
  <c r="F590" i="20" s="1"/>
  <c r="D591" i="20" s="1"/>
  <c r="E591" i="20" s="1"/>
  <c r="F591" i="20" s="1"/>
  <c r="D592" i="20" s="1"/>
  <c r="E592" i="20" s="1"/>
  <c r="F592" i="20" s="1"/>
  <c r="D593" i="20" s="1"/>
  <c r="E593" i="20" s="1"/>
  <c r="F593" i="20" s="1"/>
  <c r="D594" i="20" s="1"/>
  <c r="E594" i="20" s="1"/>
  <c r="F594" i="20" s="1"/>
  <c r="D595" i="20" s="1"/>
  <c r="E595" i="20" s="1"/>
  <c r="F595" i="20" s="1"/>
  <c r="D596" i="20" s="1"/>
  <c r="E596" i="20" s="1"/>
  <c r="F596" i="20" s="1"/>
  <c r="D597" i="20" s="1"/>
  <c r="E597" i="20" s="1"/>
  <c r="F597" i="20" s="1"/>
  <c r="D598" i="20" s="1"/>
  <c r="E598" i="20" s="1"/>
  <c r="F598" i="20" s="1"/>
  <c r="D599" i="20" s="1"/>
  <c r="E599" i="20" s="1"/>
  <c r="F599" i="20" s="1"/>
  <c r="D600" i="20" s="1"/>
  <c r="E600" i="20" s="1"/>
  <c r="F600" i="20" s="1"/>
  <c r="D601" i="20" s="1"/>
  <c r="E601" i="20" s="1"/>
  <c r="F601" i="20" s="1"/>
  <c r="D602" i="20" s="1"/>
  <c r="E602" i="20" s="1"/>
  <c r="F602" i="20" s="1"/>
  <c r="D603" i="20" s="1"/>
  <c r="E603" i="20" s="1"/>
  <c r="F603" i="20" s="1"/>
  <c r="D604" i="20" s="1"/>
  <c r="E604" i="20" s="1"/>
  <c r="F604" i="20" s="1"/>
  <c r="D605" i="20" s="1"/>
  <c r="E605" i="20" s="1"/>
  <c r="F605" i="20" s="1"/>
  <c r="D606" i="20" s="1"/>
  <c r="E606" i="20" s="1"/>
  <c r="F606" i="20" s="1"/>
  <c r="D607" i="20" s="1"/>
  <c r="D1346" i="20"/>
  <c r="I1347" i="20" s="1"/>
  <c r="E1350" i="20" s="1"/>
  <c r="F1350" i="20" s="1"/>
  <c r="D1351" i="20" s="1"/>
  <c r="E1351" i="20" s="1"/>
  <c r="F1351" i="20" s="1"/>
  <c r="D1352" i="20" s="1"/>
  <c r="E1352" i="20" s="1"/>
  <c r="F1352" i="20" s="1"/>
  <c r="D1353" i="20" s="1"/>
  <c r="D455" i="20"/>
  <c r="I456" i="20" s="1"/>
  <c r="E459" i="20" s="1"/>
  <c r="F459" i="20" s="1"/>
  <c r="D460" i="20" s="1"/>
  <c r="E460" i="20" s="1"/>
  <c r="F460" i="20" s="1"/>
  <c r="D461" i="20" s="1"/>
  <c r="E461" i="20" s="1"/>
  <c r="F461" i="20" s="1"/>
  <c r="D462" i="20" s="1"/>
  <c r="E462" i="20" s="1"/>
  <c r="F462" i="20" s="1"/>
  <c r="D463" i="20" s="1"/>
  <c r="E463" i="20" s="1"/>
  <c r="F463" i="20" s="1"/>
  <c r="D464" i="20" s="1"/>
  <c r="E464" i="20" s="1"/>
  <c r="F464" i="20" s="1"/>
  <c r="D465" i="20" s="1"/>
  <c r="E465" i="20" s="1"/>
  <c r="F465" i="20" s="1"/>
  <c r="D466" i="20" s="1"/>
  <c r="E466" i="20" s="1"/>
  <c r="F466" i="20" s="1"/>
  <c r="D467" i="20" s="1"/>
  <c r="E467" i="20" s="1"/>
  <c r="F467" i="20" s="1"/>
  <c r="D468" i="20" s="1"/>
  <c r="E468" i="20" s="1"/>
  <c r="F468" i="20" s="1"/>
  <c r="D469" i="20" s="1"/>
  <c r="E469" i="20" s="1"/>
  <c r="F469" i="20" s="1"/>
  <c r="D470" i="20" s="1"/>
  <c r="E470" i="20" s="1"/>
  <c r="F470" i="20" s="1"/>
  <c r="D471" i="20" s="1"/>
  <c r="E471" i="20" s="1"/>
  <c r="F471" i="20" s="1"/>
  <c r="D472" i="20" s="1"/>
  <c r="E472" i="20" s="1"/>
  <c r="F472" i="20" s="1"/>
  <c r="D473" i="20" s="1"/>
  <c r="E473" i="20" s="1"/>
  <c r="F473" i="20" s="1"/>
  <c r="D474" i="20" s="1"/>
  <c r="E474" i="20" s="1"/>
  <c r="F474" i="20" s="1"/>
  <c r="D475" i="20" s="1"/>
  <c r="E475" i="20" s="1"/>
  <c r="F475" i="20" s="1"/>
  <c r="D476" i="20" s="1"/>
  <c r="E476" i="20" s="1"/>
  <c r="F476" i="20" s="1"/>
  <c r="D477" i="20" s="1"/>
  <c r="E477" i="20" s="1"/>
  <c r="F477" i="20" s="1"/>
  <c r="D478" i="20" s="1"/>
  <c r="E478" i="20" s="1"/>
  <c r="F478" i="20" s="1"/>
  <c r="D479" i="20" s="1"/>
  <c r="E479" i="20" s="1"/>
  <c r="F479" i="20" s="1"/>
  <c r="D480" i="20" s="1"/>
  <c r="E480" i="20" s="1"/>
  <c r="F480" i="20" s="1"/>
  <c r="D481" i="20" s="1"/>
  <c r="E481" i="20" s="1"/>
  <c r="F481" i="20" s="1"/>
  <c r="D482" i="20" s="1"/>
  <c r="E482" i="20" s="1"/>
  <c r="F482" i="20" s="1"/>
  <c r="D483" i="20" s="1"/>
  <c r="E483" i="20" s="1"/>
  <c r="F483" i="20" s="1"/>
  <c r="D484" i="20" s="1"/>
  <c r="E484" i="20" s="1"/>
  <c r="F484" i="20" s="1"/>
  <c r="D485" i="20" s="1"/>
  <c r="E485" i="20" s="1"/>
  <c r="F485" i="20" s="1"/>
  <c r="D486" i="20" s="1"/>
  <c r="E486" i="20" s="1"/>
  <c r="F486" i="20" s="1"/>
  <c r="D487" i="20" s="1"/>
  <c r="E487" i="20" s="1"/>
  <c r="F487" i="20" s="1"/>
  <c r="D488" i="20" s="1"/>
  <c r="E488" i="20" s="1"/>
  <c r="F488" i="20" s="1"/>
  <c r="D489" i="20" s="1"/>
  <c r="E489" i="20" s="1"/>
  <c r="F489" i="20" s="1"/>
  <c r="D490" i="20" s="1"/>
  <c r="E490" i="20" s="1"/>
  <c r="F490" i="20" s="1"/>
  <c r="D491" i="20" s="1"/>
  <c r="E491" i="20" s="1"/>
  <c r="F491" i="20" s="1"/>
  <c r="D492" i="20" s="1"/>
  <c r="E492" i="20" s="1"/>
  <c r="F492" i="20" s="1"/>
  <c r="D493" i="20" s="1"/>
  <c r="E493" i="20" s="1"/>
  <c r="F493" i="20" s="1"/>
  <c r="D494" i="20" s="1"/>
  <c r="E494" i="20" s="1"/>
  <c r="F494" i="20" s="1"/>
  <c r="D495" i="20" s="1"/>
  <c r="E495" i="20" s="1"/>
  <c r="F495" i="20" s="1"/>
  <c r="D496" i="20" s="1"/>
  <c r="E496" i="20" s="1"/>
  <c r="F496" i="20" s="1"/>
  <c r="D497" i="20" s="1"/>
  <c r="E497" i="20" s="1"/>
  <c r="F497" i="20" s="1"/>
  <c r="D498" i="20" s="1"/>
  <c r="E498" i="20" s="1"/>
  <c r="F498" i="20" s="1"/>
  <c r="D499" i="20" s="1"/>
  <c r="E499" i="20" s="1"/>
  <c r="F499" i="20" s="1"/>
  <c r="D500" i="20" s="1"/>
  <c r="E500" i="20" s="1"/>
  <c r="F500" i="20" s="1"/>
  <c r="D501" i="20" s="1"/>
  <c r="E501" i="20" s="1"/>
  <c r="F501" i="20" s="1"/>
  <c r="D502" i="20" s="1"/>
  <c r="E502" i="20" s="1"/>
  <c r="F502" i="20" s="1"/>
  <c r="D503" i="20" s="1"/>
  <c r="E503" i="20" s="1"/>
  <c r="F503" i="20" s="1"/>
  <c r="D504" i="20" s="1"/>
  <c r="E504" i="20" s="1"/>
  <c r="F504" i="20" s="1"/>
  <c r="D505" i="20" s="1"/>
  <c r="E505" i="20" s="1"/>
  <c r="F505" i="20" s="1"/>
  <c r="D506" i="20" s="1"/>
  <c r="E506" i="20" s="1"/>
  <c r="F506" i="20" s="1"/>
  <c r="D507" i="20" s="1"/>
  <c r="E507" i="20" s="1"/>
  <c r="F507" i="20" s="1"/>
  <c r="D508" i="20" s="1"/>
  <c r="E508" i="20" s="1"/>
  <c r="F508" i="20" s="1"/>
  <c r="D509" i="20" s="1"/>
  <c r="E509" i="20" s="1"/>
  <c r="F509" i="20" s="1"/>
  <c r="D510" i="20" s="1"/>
  <c r="E510" i="20" s="1"/>
  <c r="F510" i="20" s="1"/>
  <c r="D511" i="20" s="1"/>
  <c r="E511" i="20" s="1"/>
  <c r="F511" i="20" s="1"/>
  <c r="D512" i="20" s="1"/>
  <c r="E512" i="20" s="1"/>
  <c r="F512" i="20" s="1"/>
  <c r="D513" i="20" s="1"/>
  <c r="E513" i="20" s="1"/>
  <c r="F513" i="20" s="1"/>
  <c r="D514" i="20" s="1"/>
  <c r="E514" i="20" s="1"/>
  <c r="F514" i="20" s="1"/>
  <c r="D515" i="20" s="1"/>
  <c r="E515" i="20" s="1"/>
  <c r="F515" i="20" s="1"/>
  <c r="D516" i="20" s="1"/>
  <c r="E516" i="20" s="1"/>
  <c r="F516" i="20" s="1"/>
  <c r="D517" i="20" s="1"/>
  <c r="E517" i="20" s="1"/>
  <c r="F517" i="20" s="1"/>
  <c r="D518" i="20" s="1"/>
  <c r="L87" i="2"/>
  <c r="L94" i="2"/>
  <c r="L177" i="2"/>
  <c r="J116" i="2" l="1"/>
  <c r="L116" i="2" s="1"/>
  <c r="L121" i="2" s="1"/>
  <c r="J185" i="2"/>
  <c r="L185" i="2" s="1"/>
  <c r="J160" i="2"/>
  <c r="L160" i="2" s="1"/>
  <c r="J199" i="2"/>
  <c r="L199" i="2" s="1"/>
  <c r="E37" i="13" s="1"/>
  <c r="E1320" i="20"/>
  <c r="E1321" i="20" s="1"/>
  <c r="E696" i="20"/>
  <c r="E697" i="20" s="1"/>
  <c r="E874" i="20"/>
  <c r="E875" i="20" s="1"/>
  <c r="E1141" i="20"/>
  <c r="E1142" i="20" s="1"/>
  <c r="E66" i="11"/>
  <c r="E67" i="11" s="1"/>
  <c r="E68" i="11" s="1"/>
  <c r="I66" i="11"/>
  <c r="I67" i="11" s="1"/>
  <c r="I68" i="11" s="1"/>
  <c r="G66" i="11"/>
  <c r="G67" i="11" s="1"/>
  <c r="G68" i="11" s="1"/>
  <c r="E785" i="20"/>
  <c r="E786" i="20" s="1"/>
  <c r="F993" i="20"/>
  <c r="D994" i="20" s="1"/>
  <c r="E162" i="20"/>
  <c r="E163" i="20" s="1"/>
  <c r="E340" i="20"/>
  <c r="E341" i="20" s="1"/>
  <c r="E1498" i="20"/>
  <c r="E1499" i="20" s="1"/>
  <c r="E251" i="20"/>
  <c r="E252" i="20" s="1"/>
  <c r="E963" i="20"/>
  <c r="E964" i="20" s="1"/>
  <c r="L95" i="2"/>
  <c r="J95" i="2" s="1"/>
  <c r="G71" i="11" s="1"/>
  <c r="E518" i="20"/>
  <c r="E519" i="20" s="1"/>
  <c r="E1353" i="20"/>
  <c r="F1353" i="20" s="1"/>
  <c r="D1354" i="20" s="1"/>
  <c r="E1354" i="20" s="1"/>
  <c r="F1354" i="20" s="1"/>
  <c r="D1355" i="20" s="1"/>
  <c r="E1355" i="20" s="1"/>
  <c r="F1355" i="20" s="1"/>
  <c r="D1356" i="20" s="1"/>
  <c r="E1356" i="20" s="1"/>
  <c r="F1356" i="20" s="1"/>
  <c r="D1357" i="20" s="1"/>
  <c r="E1357" i="20" s="1"/>
  <c r="F1357" i="20" s="1"/>
  <c r="D1358" i="20" s="1"/>
  <c r="E1358" i="20" s="1"/>
  <c r="F1358" i="20" s="1"/>
  <c r="D1359" i="20" s="1"/>
  <c r="E1359" i="20" s="1"/>
  <c r="F1359" i="20" s="1"/>
  <c r="D1360" i="20" s="1"/>
  <c r="E1360" i="20" s="1"/>
  <c r="F1360" i="20" s="1"/>
  <c r="D1361" i="20" s="1"/>
  <c r="E1361" i="20" s="1"/>
  <c r="F1361" i="20" s="1"/>
  <c r="D1362" i="20" s="1"/>
  <c r="E1362" i="20" s="1"/>
  <c r="F1362" i="20" s="1"/>
  <c r="D1363" i="20" s="1"/>
  <c r="E1363" i="20" s="1"/>
  <c r="F1363" i="20" s="1"/>
  <c r="D1364" i="20" s="1"/>
  <c r="E1364" i="20" s="1"/>
  <c r="F1364" i="20" s="1"/>
  <c r="D1365" i="20" s="1"/>
  <c r="E1365" i="20" s="1"/>
  <c r="F1365" i="20" s="1"/>
  <c r="D1366" i="20" s="1"/>
  <c r="E1366" i="20" s="1"/>
  <c r="F1366" i="20" s="1"/>
  <c r="D1367" i="20" s="1"/>
  <c r="E1367" i="20" s="1"/>
  <c r="F1367" i="20" s="1"/>
  <c r="D1368" i="20" s="1"/>
  <c r="E1368" i="20" s="1"/>
  <c r="F1368" i="20" s="1"/>
  <c r="D1369" i="20" s="1"/>
  <c r="E1369" i="20" s="1"/>
  <c r="F1369" i="20" s="1"/>
  <c r="D1370" i="20" s="1"/>
  <c r="E1370" i="20" s="1"/>
  <c r="F1370" i="20" s="1"/>
  <c r="D1371" i="20" s="1"/>
  <c r="E1371" i="20" s="1"/>
  <c r="F1371" i="20" s="1"/>
  <c r="D1372" i="20" s="1"/>
  <c r="E1372" i="20" s="1"/>
  <c r="F1372" i="20" s="1"/>
  <c r="D1373" i="20" s="1"/>
  <c r="E1373" i="20" s="1"/>
  <c r="F1373" i="20" s="1"/>
  <c r="D1374" i="20" s="1"/>
  <c r="E1374" i="20" s="1"/>
  <c r="F1374" i="20" s="1"/>
  <c r="D1375" i="20" s="1"/>
  <c r="E1375" i="20" s="1"/>
  <c r="F1375" i="20" s="1"/>
  <c r="D1376" i="20" s="1"/>
  <c r="E1376" i="20" s="1"/>
  <c r="F1376" i="20" s="1"/>
  <c r="D1377" i="20" s="1"/>
  <c r="E1377" i="20" s="1"/>
  <c r="F1377" i="20" s="1"/>
  <c r="D1378" i="20" s="1"/>
  <c r="E1378" i="20" s="1"/>
  <c r="F1378" i="20" s="1"/>
  <c r="D1379" i="20" s="1"/>
  <c r="E1379" i="20" s="1"/>
  <c r="F1379" i="20" s="1"/>
  <c r="D1380" i="20" s="1"/>
  <c r="E1380" i="20" s="1"/>
  <c r="F1380" i="20" s="1"/>
  <c r="D1381" i="20" s="1"/>
  <c r="E1381" i="20" s="1"/>
  <c r="F1381" i="20" s="1"/>
  <c r="D1382" i="20" s="1"/>
  <c r="E1382" i="20" s="1"/>
  <c r="F1382" i="20" s="1"/>
  <c r="D1383" i="20" s="1"/>
  <c r="E1383" i="20" s="1"/>
  <c r="F1383" i="20" s="1"/>
  <c r="D1384" i="20" s="1"/>
  <c r="E1384" i="20" s="1"/>
  <c r="F1384" i="20" s="1"/>
  <c r="D1385" i="20" s="1"/>
  <c r="E1385" i="20" s="1"/>
  <c r="F1385" i="20" s="1"/>
  <c r="D1386" i="20" s="1"/>
  <c r="E1386" i="20" s="1"/>
  <c r="F1386" i="20" s="1"/>
  <c r="D1387" i="20" s="1"/>
  <c r="E1387" i="20" s="1"/>
  <c r="F1387" i="20" s="1"/>
  <c r="D1388" i="20" s="1"/>
  <c r="E1388" i="20" s="1"/>
  <c r="F1388" i="20" s="1"/>
  <c r="D1389" i="20" s="1"/>
  <c r="E1389" i="20" s="1"/>
  <c r="F1389" i="20" s="1"/>
  <c r="D1390" i="20" s="1"/>
  <c r="E1390" i="20" s="1"/>
  <c r="F1390" i="20" s="1"/>
  <c r="D1391" i="20" s="1"/>
  <c r="E1391" i="20" s="1"/>
  <c r="F1391" i="20" s="1"/>
  <c r="D1392" i="20" s="1"/>
  <c r="E1392" i="20" s="1"/>
  <c r="F1392" i="20" s="1"/>
  <c r="D1393" i="20" s="1"/>
  <c r="E1393" i="20" s="1"/>
  <c r="F1393" i="20" s="1"/>
  <c r="D1394" i="20" s="1"/>
  <c r="E1394" i="20" s="1"/>
  <c r="F1394" i="20" s="1"/>
  <c r="D1395" i="20" s="1"/>
  <c r="E1395" i="20" s="1"/>
  <c r="F1395" i="20" s="1"/>
  <c r="D1396" i="20" s="1"/>
  <c r="E1396" i="20" s="1"/>
  <c r="F1396" i="20" s="1"/>
  <c r="D1397" i="20" s="1"/>
  <c r="E1397" i="20" s="1"/>
  <c r="F1397" i="20" s="1"/>
  <c r="D1398" i="20" s="1"/>
  <c r="E1398" i="20" s="1"/>
  <c r="F1398" i="20" s="1"/>
  <c r="D1399" i="20" s="1"/>
  <c r="E1399" i="20" s="1"/>
  <c r="F1399" i="20" s="1"/>
  <c r="D1400" i="20" s="1"/>
  <c r="E1400" i="20" s="1"/>
  <c r="F1400" i="20" s="1"/>
  <c r="D1401" i="20" s="1"/>
  <c r="E1401" i="20" s="1"/>
  <c r="F1401" i="20" s="1"/>
  <c r="D1402" i="20" s="1"/>
  <c r="E1402" i="20" s="1"/>
  <c r="F1402" i="20" s="1"/>
  <c r="D1403" i="20" s="1"/>
  <c r="E1403" i="20" s="1"/>
  <c r="F1403" i="20" s="1"/>
  <c r="D1404" i="20" s="1"/>
  <c r="E1404" i="20" s="1"/>
  <c r="F1404" i="20" s="1"/>
  <c r="D1405" i="20" s="1"/>
  <c r="E1405" i="20" s="1"/>
  <c r="F1405" i="20" s="1"/>
  <c r="D1406" i="20" s="1"/>
  <c r="E1406" i="20" s="1"/>
  <c r="F1406" i="20" s="1"/>
  <c r="D1407" i="20" s="1"/>
  <c r="E1407" i="20" s="1"/>
  <c r="F1407" i="20" s="1"/>
  <c r="D1408" i="20" s="1"/>
  <c r="E1408" i="20" s="1"/>
  <c r="F1408" i="20" s="1"/>
  <c r="D1409" i="20" s="1"/>
  <c r="E1174" i="20"/>
  <c r="F1174" i="20" s="1"/>
  <c r="D1175" i="20" s="1"/>
  <c r="E1175" i="20" s="1"/>
  <c r="F1175" i="20" s="1"/>
  <c r="D1176" i="20" s="1"/>
  <c r="E1176" i="20" s="1"/>
  <c r="F1176" i="20" s="1"/>
  <c r="D1177" i="20" s="1"/>
  <c r="E1177" i="20" s="1"/>
  <c r="F1177" i="20" s="1"/>
  <c r="D1178" i="20" s="1"/>
  <c r="E1178" i="20" s="1"/>
  <c r="F1178" i="20" s="1"/>
  <c r="D1179" i="20" s="1"/>
  <c r="E1179" i="20" s="1"/>
  <c r="F1179" i="20" s="1"/>
  <c r="D1180" i="20" s="1"/>
  <c r="E1180" i="20" s="1"/>
  <c r="F1180" i="20" s="1"/>
  <c r="D1181" i="20" s="1"/>
  <c r="E1181" i="20" s="1"/>
  <c r="F1181" i="20" s="1"/>
  <c r="D1182" i="20" s="1"/>
  <c r="E1182" i="20" s="1"/>
  <c r="F1182" i="20" s="1"/>
  <c r="D1183" i="20" s="1"/>
  <c r="E1183" i="20" s="1"/>
  <c r="F1183" i="20" s="1"/>
  <c r="D1184" i="20" s="1"/>
  <c r="E1184" i="20" s="1"/>
  <c r="F1184" i="20" s="1"/>
  <c r="D1185" i="20" s="1"/>
  <c r="E1185" i="20" s="1"/>
  <c r="F1185" i="20" s="1"/>
  <c r="D1186" i="20" s="1"/>
  <c r="E1186" i="20" s="1"/>
  <c r="F1186" i="20" s="1"/>
  <c r="D1187" i="20" s="1"/>
  <c r="E1187" i="20" s="1"/>
  <c r="F1187" i="20" s="1"/>
  <c r="D1188" i="20" s="1"/>
  <c r="E1188" i="20" s="1"/>
  <c r="F1188" i="20" s="1"/>
  <c r="D1189" i="20" s="1"/>
  <c r="E1189" i="20" s="1"/>
  <c r="F1189" i="20" s="1"/>
  <c r="D1190" i="20" s="1"/>
  <c r="E1190" i="20" s="1"/>
  <c r="F1190" i="20" s="1"/>
  <c r="D1191" i="20" s="1"/>
  <c r="E1191" i="20" s="1"/>
  <c r="F1191" i="20" s="1"/>
  <c r="D1192" i="20" s="1"/>
  <c r="E1192" i="20" s="1"/>
  <c r="F1192" i="20" s="1"/>
  <c r="D1193" i="20" s="1"/>
  <c r="E1193" i="20" s="1"/>
  <c r="F1193" i="20" s="1"/>
  <c r="D1194" i="20" s="1"/>
  <c r="E1194" i="20" s="1"/>
  <c r="F1194" i="20" s="1"/>
  <c r="D1195" i="20" s="1"/>
  <c r="E1195" i="20" s="1"/>
  <c r="F1195" i="20" s="1"/>
  <c r="D1196" i="20" s="1"/>
  <c r="E1196" i="20" s="1"/>
  <c r="F1196" i="20" s="1"/>
  <c r="D1197" i="20" s="1"/>
  <c r="E1197" i="20" s="1"/>
  <c r="F1197" i="20" s="1"/>
  <c r="D1198" i="20" s="1"/>
  <c r="E1198" i="20" s="1"/>
  <c r="F1198" i="20" s="1"/>
  <c r="D1199" i="20" s="1"/>
  <c r="E1199" i="20" s="1"/>
  <c r="F1199" i="20" s="1"/>
  <c r="D1200" i="20" s="1"/>
  <c r="E1200" i="20" s="1"/>
  <c r="F1200" i="20" s="1"/>
  <c r="D1201" i="20" s="1"/>
  <c r="E1201" i="20" s="1"/>
  <c r="F1201" i="20" s="1"/>
  <c r="D1202" i="20" s="1"/>
  <c r="E1202" i="20" s="1"/>
  <c r="F1202" i="20" s="1"/>
  <c r="D1203" i="20" s="1"/>
  <c r="E1203" i="20" s="1"/>
  <c r="F1203" i="20" s="1"/>
  <c r="D1204" i="20" s="1"/>
  <c r="E1204" i="20" s="1"/>
  <c r="F1204" i="20" s="1"/>
  <c r="D1205" i="20" s="1"/>
  <c r="E1205" i="20" s="1"/>
  <c r="F1205" i="20" s="1"/>
  <c r="D1206" i="20" s="1"/>
  <c r="E1206" i="20" s="1"/>
  <c r="F1206" i="20" s="1"/>
  <c r="D1207" i="20" s="1"/>
  <c r="E1207" i="20" s="1"/>
  <c r="F1207" i="20" s="1"/>
  <c r="D1208" i="20" s="1"/>
  <c r="E1208" i="20" s="1"/>
  <c r="F1208" i="20" s="1"/>
  <c r="D1209" i="20" s="1"/>
  <c r="E1209" i="20" s="1"/>
  <c r="F1209" i="20" s="1"/>
  <c r="D1210" i="20" s="1"/>
  <c r="E1210" i="20" s="1"/>
  <c r="F1210" i="20" s="1"/>
  <c r="D1211" i="20" s="1"/>
  <c r="E1211" i="20" s="1"/>
  <c r="F1211" i="20" s="1"/>
  <c r="D1212" i="20" s="1"/>
  <c r="E1212" i="20" s="1"/>
  <c r="F1212" i="20" s="1"/>
  <c r="D1213" i="20" s="1"/>
  <c r="E1213" i="20" s="1"/>
  <c r="F1213" i="20" s="1"/>
  <c r="D1214" i="20" s="1"/>
  <c r="E1214" i="20" s="1"/>
  <c r="F1214" i="20" s="1"/>
  <c r="D1215" i="20" s="1"/>
  <c r="E1215" i="20" s="1"/>
  <c r="F1215" i="20" s="1"/>
  <c r="D1216" i="20" s="1"/>
  <c r="E1216" i="20" s="1"/>
  <c r="F1216" i="20" s="1"/>
  <c r="D1217" i="20" s="1"/>
  <c r="E1217" i="20" s="1"/>
  <c r="F1217" i="20" s="1"/>
  <c r="D1218" i="20" s="1"/>
  <c r="E1218" i="20" s="1"/>
  <c r="F1218" i="20" s="1"/>
  <c r="D1219" i="20" s="1"/>
  <c r="E1219" i="20" s="1"/>
  <c r="F1219" i="20" s="1"/>
  <c r="D1220" i="20" s="1"/>
  <c r="E1220" i="20" s="1"/>
  <c r="F1220" i="20" s="1"/>
  <c r="D1221" i="20" s="1"/>
  <c r="E1221" i="20" s="1"/>
  <c r="F1221" i="20" s="1"/>
  <c r="D1222" i="20" s="1"/>
  <c r="E1222" i="20" s="1"/>
  <c r="F1222" i="20" s="1"/>
  <c r="D1223" i="20" s="1"/>
  <c r="E1223" i="20" s="1"/>
  <c r="F1223" i="20" s="1"/>
  <c r="D1224" i="20" s="1"/>
  <c r="E1224" i="20" s="1"/>
  <c r="F1224" i="20" s="1"/>
  <c r="D1225" i="20" s="1"/>
  <c r="E1225" i="20" s="1"/>
  <c r="F1225" i="20" s="1"/>
  <c r="D1226" i="20" s="1"/>
  <c r="E1226" i="20" s="1"/>
  <c r="F1226" i="20" s="1"/>
  <c r="D1227" i="20" s="1"/>
  <c r="E1227" i="20" s="1"/>
  <c r="F1227" i="20" s="1"/>
  <c r="D1228" i="20" s="1"/>
  <c r="E1228" i="20" s="1"/>
  <c r="F1228" i="20" s="1"/>
  <c r="D1229" i="20" s="1"/>
  <c r="E1229" i="20" s="1"/>
  <c r="F1229" i="20" s="1"/>
  <c r="D1230" i="20" s="1"/>
  <c r="E1230" i="20" s="1"/>
  <c r="F1230" i="20" s="1"/>
  <c r="D1231" i="20" s="1"/>
  <c r="E607" i="20"/>
  <c r="E608" i="20" s="1"/>
  <c r="E429" i="20"/>
  <c r="E430" i="20" s="1"/>
  <c r="E55" i="11"/>
  <c r="E56" i="11" s="1"/>
  <c r="I55" i="11"/>
  <c r="I56" i="11" s="1"/>
  <c r="I57" i="11" s="1"/>
  <c r="G55" i="11"/>
  <c r="G56" i="11" s="1"/>
  <c r="G57" i="11" s="1"/>
  <c r="F37" i="20" l="1"/>
  <c r="F1320" i="20"/>
  <c r="F785" i="20"/>
  <c r="F874" i="20"/>
  <c r="F607" i="20"/>
  <c r="F1141" i="20"/>
  <c r="L125" i="2"/>
  <c r="E28" i="13" s="1"/>
  <c r="E30" i="13" s="1"/>
  <c r="F1498" i="20"/>
  <c r="F518" i="20"/>
  <c r="F340" i="20"/>
  <c r="F696" i="20"/>
  <c r="F162" i="20"/>
  <c r="F963" i="20"/>
  <c r="E1409" i="20"/>
  <c r="E1410" i="20" s="1"/>
  <c r="F429" i="20"/>
  <c r="E994" i="20"/>
  <c r="F994" i="20" s="1"/>
  <c r="D995" i="20" s="1"/>
  <c r="M68" i="11"/>
  <c r="E69" i="11" s="1"/>
  <c r="E1231" i="20"/>
  <c r="E1232" i="20" s="1"/>
  <c r="E57" i="11"/>
  <c r="M57" i="11" s="1"/>
  <c r="E58" i="11" s="1"/>
  <c r="M56" i="11"/>
  <c r="F251" i="20"/>
  <c r="M67" i="11"/>
  <c r="L205" i="2" l="1"/>
  <c r="F49" i="13" s="1"/>
  <c r="F28" i="20"/>
  <c r="F30" i="20" s="1"/>
  <c r="G56" i="20" s="1"/>
  <c r="F1409" i="20"/>
  <c r="F1231" i="20"/>
  <c r="F56" i="13"/>
  <c r="E34" i="13"/>
  <c r="E36" i="13" s="1"/>
  <c r="E40" i="13" s="1"/>
  <c r="F57" i="13" s="1"/>
  <c r="I58" i="11"/>
  <c r="G58" i="11"/>
  <c r="H28" i="30" s="1"/>
  <c r="I28" i="30" s="1"/>
  <c r="I27" i="30" s="1"/>
  <c r="E995" i="20"/>
  <c r="F995" i="20" s="1"/>
  <c r="D996" i="20" s="1"/>
  <c r="E996" i="20" s="1"/>
  <c r="F996" i="20" s="1"/>
  <c r="D997" i="20" s="1"/>
  <c r="I69" i="11"/>
  <c r="G69" i="11"/>
  <c r="H34" i="30" s="1"/>
  <c r="I34" i="30" s="1"/>
  <c r="I33" i="30" s="1"/>
  <c r="G49" i="20" l="1"/>
  <c r="L198" i="2"/>
  <c r="L203" i="2" s="1"/>
  <c r="F50" i="13" s="1"/>
  <c r="F34" i="20"/>
  <c r="F36" i="20" s="1"/>
  <c r="F40" i="20" s="1"/>
  <c r="G57" i="20" s="1"/>
  <c r="I25" i="30"/>
  <c r="L183" i="2" s="1"/>
  <c r="L186" i="2" s="1"/>
  <c r="E997" i="20"/>
  <c r="F997" i="20" s="1"/>
  <c r="D998" i="20" s="1"/>
  <c r="G50" i="20" l="1"/>
  <c r="E998" i="20"/>
  <c r="F998" i="20" s="1"/>
  <c r="D999" i="20" s="1"/>
  <c r="E999" i="20" l="1"/>
  <c r="F999" i="20" s="1"/>
  <c r="D1000" i="20" s="1"/>
  <c r="E1000" i="20" l="1"/>
  <c r="F1000" i="20" s="1"/>
  <c r="D1001" i="20" s="1"/>
  <c r="E1001" i="20" l="1"/>
  <c r="F1001" i="20" s="1"/>
  <c r="D1002" i="20" s="1"/>
  <c r="E1002" i="20" l="1"/>
  <c r="F1002" i="20" s="1"/>
  <c r="D1003" i="20" s="1"/>
  <c r="E1003" i="20" l="1"/>
  <c r="F1003" i="20" s="1"/>
  <c r="D1004" i="20" s="1"/>
  <c r="E1004" i="20" l="1"/>
  <c r="F1004" i="20" s="1"/>
  <c r="D1005" i="20" s="1"/>
  <c r="E1005" i="20" l="1"/>
  <c r="F1005" i="20" s="1"/>
  <c r="D1006" i="20" s="1"/>
  <c r="E1006" i="20" l="1"/>
  <c r="F1006" i="20" s="1"/>
  <c r="D1007" i="20" s="1"/>
  <c r="E1007" i="20" l="1"/>
  <c r="F1007" i="20" s="1"/>
  <c r="D1008" i="20" s="1"/>
  <c r="E1008" i="20" l="1"/>
  <c r="F1008" i="20" s="1"/>
  <c r="D1009" i="20" s="1"/>
  <c r="E1009" i="20" l="1"/>
  <c r="F1009" i="20" s="1"/>
  <c r="D1010" i="20" s="1"/>
  <c r="E1010" i="20" l="1"/>
  <c r="F1010" i="20" s="1"/>
  <c r="D1011" i="20" s="1"/>
  <c r="E1011" i="20" l="1"/>
  <c r="F1011" i="20" s="1"/>
  <c r="D1012" i="20" s="1"/>
  <c r="E1012" i="20" l="1"/>
  <c r="F1012" i="20" s="1"/>
  <c r="D1013" i="20" s="1"/>
  <c r="E1013" i="20" l="1"/>
  <c r="F1013" i="20" s="1"/>
  <c r="D1014" i="20" s="1"/>
  <c r="E1014" i="20" l="1"/>
  <c r="F1014" i="20" s="1"/>
  <c r="D1015" i="20" s="1"/>
  <c r="E1015" i="20" l="1"/>
  <c r="F1015" i="20" s="1"/>
  <c r="D1016" i="20" s="1"/>
  <c r="E1016" i="20" l="1"/>
  <c r="F1016" i="20" s="1"/>
  <c r="D1017" i="20" s="1"/>
  <c r="E1017" i="20" l="1"/>
  <c r="F1017" i="20" s="1"/>
  <c r="D1018" i="20" s="1"/>
  <c r="E1018" i="20" l="1"/>
  <c r="F1018" i="20" s="1"/>
  <c r="D1019" i="20" s="1"/>
  <c r="E1019" i="20" l="1"/>
  <c r="F1019" i="20" s="1"/>
  <c r="D1020" i="20" s="1"/>
  <c r="E1020" i="20" l="1"/>
  <c r="F1020" i="20" s="1"/>
  <c r="D1021" i="20" s="1"/>
  <c r="E1021" i="20" l="1"/>
  <c r="F1021" i="20" s="1"/>
  <c r="D1022" i="20" s="1"/>
  <c r="E1022" i="20" l="1"/>
  <c r="F1022" i="20" s="1"/>
  <c r="D1023" i="20" s="1"/>
  <c r="E1023" i="20" l="1"/>
  <c r="F1023" i="20" s="1"/>
  <c r="D1024" i="20" s="1"/>
  <c r="E1024" i="20" l="1"/>
  <c r="F1024" i="20" s="1"/>
  <c r="D1025" i="20" s="1"/>
  <c r="E1025" i="20" l="1"/>
  <c r="F1025" i="20" s="1"/>
  <c r="D1026" i="20" s="1"/>
  <c r="E1026" i="20" l="1"/>
  <c r="F1026" i="20" s="1"/>
  <c r="D1027" i="20" s="1"/>
  <c r="E1027" i="20" l="1"/>
  <c r="F1027" i="20" s="1"/>
  <c r="D1028" i="20" s="1"/>
  <c r="E1028" i="20" l="1"/>
  <c r="F1028" i="20" s="1"/>
  <c r="D1029" i="20" s="1"/>
  <c r="E1029" i="20" l="1"/>
  <c r="F1029" i="20" s="1"/>
  <c r="D1030" i="20" s="1"/>
  <c r="E1030" i="20" l="1"/>
  <c r="F1030" i="20" s="1"/>
  <c r="D1031" i="20" s="1"/>
  <c r="E1031" i="20" l="1"/>
  <c r="F1031" i="20" s="1"/>
  <c r="D1032" i="20" s="1"/>
  <c r="E1032" i="20" l="1"/>
  <c r="F1032" i="20" s="1"/>
  <c r="D1033" i="20" s="1"/>
  <c r="E1033" i="20" l="1"/>
  <c r="F1033" i="20" s="1"/>
  <c r="D1034" i="20" s="1"/>
  <c r="E1034" i="20" l="1"/>
  <c r="F1034" i="20" s="1"/>
  <c r="D1035" i="20" s="1"/>
  <c r="E1035" i="20" l="1"/>
  <c r="F1035" i="20" s="1"/>
  <c r="D1036" i="20" s="1"/>
  <c r="E1036" i="20" l="1"/>
  <c r="F1036" i="20" s="1"/>
  <c r="D1037" i="20" s="1"/>
  <c r="E1037" i="20" l="1"/>
  <c r="F1037" i="20" s="1"/>
  <c r="D1038" i="20" s="1"/>
  <c r="E1038" i="20" l="1"/>
  <c r="F1038" i="20" s="1"/>
  <c r="D1039" i="20" s="1"/>
  <c r="E1039" i="20" l="1"/>
  <c r="F1039" i="20" s="1"/>
  <c r="D1040" i="20" s="1"/>
  <c r="E1040" i="20" l="1"/>
  <c r="F1040" i="20" s="1"/>
  <c r="D1041" i="20" s="1"/>
  <c r="E1041" i="20" l="1"/>
  <c r="F1041" i="20" s="1"/>
  <c r="D1042" i="20" s="1"/>
  <c r="E1042" i="20" l="1"/>
  <c r="F1042" i="20" s="1"/>
  <c r="D1043" i="20" s="1"/>
  <c r="E1043" i="20" l="1"/>
  <c r="F1043" i="20" s="1"/>
  <c r="D1044" i="20" s="1"/>
  <c r="E1044" i="20" l="1"/>
  <c r="F1044" i="20" s="1"/>
  <c r="D1045" i="20" s="1"/>
  <c r="E1045" i="20" l="1"/>
  <c r="F1045" i="20" s="1"/>
  <c r="D1046" i="20" s="1"/>
  <c r="E1046" i="20" l="1"/>
  <c r="F1046" i="20" s="1"/>
  <c r="D1047" i="20" s="1"/>
  <c r="E1047" i="20" l="1"/>
  <c r="F1047" i="20" s="1"/>
  <c r="D1048" i="20" s="1"/>
  <c r="E1048" i="20" l="1"/>
  <c r="F1048" i="20" s="1"/>
  <c r="D1049" i="20" s="1"/>
  <c r="E1049" i="20" l="1"/>
  <c r="F1049" i="20" s="1"/>
  <c r="D1050" i="20" s="1"/>
  <c r="E1050" i="20" l="1"/>
  <c r="F1050" i="20" s="1"/>
  <c r="D1051" i="20" s="1"/>
  <c r="E1051" i="20" l="1"/>
  <c r="F1051" i="20" s="1"/>
  <c r="D1052" i="20" s="1"/>
  <c r="E1052" i="20" l="1"/>
  <c r="E1053" i="20" s="1"/>
  <c r="F1052" i="20" l="1"/>
  <c r="D72" i="9" l="1"/>
  <c r="G158" i="2" s="1"/>
  <c r="G159" i="2" s="1"/>
  <c r="L159" i="2" s="1"/>
  <c r="F72" i="9" l="1"/>
  <c r="G163" i="2" s="1"/>
  <c r="E72" i="9" l="1"/>
  <c r="L163" i="2"/>
  <c r="L165" i="2" s="1"/>
  <c r="L167" i="2" s="1"/>
  <c r="L169" i="2" s="1"/>
  <c r="L213" i="2" s="1"/>
  <c r="L13" i="2" s="1"/>
  <c r="G165" i="2"/>
  <c r="G167" i="2" s="1"/>
  <c r="G169" i="2" s="1"/>
  <c r="G213" i="2" s="1"/>
  <c r="L37" i="2" l="1"/>
  <c r="L30" i="2"/>
  <c r="L31" i="2" s="1"/>
  <c r="G47" i="20"/>
  <c r="G51" i="20" s="1"/>
  <c r="G55" i="20" s="1"/>
  <c r="G58" i="20" s="1"/>
  <c r="L20" i="2"/>
  <c r="L34" i="2"/>
  <c r="F47" i="13"/>
  <c r="F51" i="13" s="1"/>
  <c r="F55" i="13" s="1"/>
  <c r="F58" i="13" s="1"/>
  <c r="F65" i="13" l="1"/>
  <c r="F66" i="13" s="1"/>
  <c r="F60" i="13"/>
  <c r="F68" i="13" s="1"/>
  <c r="F69" i="13" s="1"/>
  <c r="F70" i="13"/>
  <c r="J97" i="13" s="1"/>
  <c r="G70" i="20"/>
  <c r="G60" i="20"/>
  <c r="G68" i="20" s="1"/>
  <c r="G69" i="20" s="1"/>
  <c r="G65" i="20"/>
  <c r="G66" i="20" s="1"/>
  <c r="G71" i="20" l="1"/>
  <c r="F71" i="13"/>
  <c r="I1434" i="20"/>
  <c r="I1435" i="20" s="1"/>
  <c r="I721" i="20"/>
  <c r="I276" i="20"/>
  <c r="I1167" i="20"/>
  <c r="I1168" i="20" s="1"/>
  <c r="I365" i="20"/>
  <c r="I810" i="20"/>
  <c r="I1345" i="20"/>
  <c r="I1346" i="20" s="1"/>
  <c r="I1256" i="20"/>
  <c r="I1257" i="20" s="1"/>
  <c r="I899" i="20"/>
  <c r="I900" i="20" s="1"/>
  <c r="I454" i="20"/>
  <c r="I98" i="20"/>
  <c r="I632" i="20"/>
  <c r="I187" i="20"/>
  <c r="I988" i="20"/>
  <c r="I989" i="20" s="1"/>
  <c r="I1077" i="20"/>
  <c r="I1078" i="20" s="1"/>
  <c r="I543" i="20"/>
  <c r="H150" i="13"/>
  <c r="H157" i="13"/>
  <c r="H139" i="13"/>
  <c r="H136" i="13"/>
  <c r="H131" i="13"/>
  <c r="H135" i="13"/>
  <c r="H127" i="13"/>
  <c r="H145" i="13"/>
  <c r="H147" i="13"/>
  <c r="H116" i="13"/>
  <c r="H129" i="13"/>
  <c r="H124" i="13"/>
  <c r="H148" i="13"/>
  <c r="J98" i="13"/>
  <c r="H132" i="13"/>
  <c r="H128" i="13"/>
  <c r="H117" i="13"/>
  <c r="H144" i="13"/>
  <c r="H155" i="13"/>
  <c r="H161" i="13"/>
  <c r="H110" i="13"/>
  <c r="H104" i="13"/>
  <c r="H137" i="13"/>
  <c r="H107" i="13"/>
  <c r="H154" i="13"/>
  <c r="H125" i="13"/>
  <c r="H130" i="13"/>
  <c r="H151" i="13"/>
  <c r="H122" i="13"/>
  <c r="H142" i="13"/>
  <c r="H152" i="13"/>
  <c r="H123" i="13"/>
  <c r="H140" i="13"/>
  <c r="H112" i="13"/>
  <c r="H105" i="13"/>
  <c r="H126" i="13"/>
  <c r="H106" i="13"/>
  <c r="H109" i="13"/>
  <c r="H120" i="13"/>
  <c r="H118" i="13"/>
  <c r="H103" i="13"/>
  <c r="H108" i="13"/>
  <c r="H158" i="13"/>
  <c r="H114" i="13"/>
  <c r="H159" i="13"/>
  <c r="H115" i="13"/>
  <c r="H149" i="13"/>
  <c r="H134" i="13"/>
  <c r="H102" i="13"/>
  <c r="H113" i="13"/>
  <c r="H143" i="13"/>
  <c r="H121" i="13"/>
  <c r="H146" i="13"/>
  <c r="H156" i="13"/>
  <c r="H119" i="13"/>
  <c r="H160" i="13"/>
  <c r="H138" i="13"/>
  <c r="H133" i="13"/>
  <c r="H141" i="13"/>
  <c r="H153" i="13"/>
  <c r="H111" i="13"/>
  <c r="I112" i="13" l="1"/>
  <c r="J112" i="13" s="1"/>
  <c r="I135" i="13"/>
  <c r="J135" i="13" s="1"/>
  <c r="I152" i="13"/>
  <c r="J152" i="13" s="1"/>
  <c r="I143" i="13"/>
  <c r="J143" i="13" s="1"/>
  <c r="I117" i="13"/>
  <c r="J117" i="13" s="1"/>
  <c r="I142" i="13"/>
  <c r="J142" i="13" s="1"/>
  <c r="I102" i="13"/>
  <c r="I155" i="13"/>
  <c r="J155" i="13" s="1"/>
  <c r="I134" i="13"/>
  <c r="J134" i="13" s="1"/>
  <c r="I125" i="13"/>
  <c r="J125" i="13" s="1"/>
  <c r="I116" i="13"/>
  <c r="J116" i="13" s="1"/>
  <c r="I131" i="13"/>
  <c r="J131" i="13" s="1"/>
  <c r="I144" i="13"/>
  <c r="J144" i="13" s="1"/>
  <c r="I129" i="13"/>
  <c r="J129" i="13" s="1"/>
  <c r="I106" i="13"/>
  <c r="J106" i="13" s="1"/>
  <c r="I136" i="13"/>
  <c r="J136" i="13" s="1"/>
  <c r="I137" i="13"/>
  <c r="J137" i="13" s="1"/>
  <c r="I103" i="13"/>
  <c r="J103" i="13" s="1"/>
  <c r="I141" i="13"/>
  <c r="J141" i="13" s="1"/>
  <c r="I126" i="13"/>
  <c r="J126" i="13" s="1"/>
  <c r="I138" i="13"/>
  <c r="J138" i="13" s="1"/>
  <c r="I110" i="13"/>
  <c r="J110" i="13" s="1"/>
  <c r="I120" i="13"/>
  <c r="J120" i="13" s="1"/>
  <c r="I148" i="13"/>
  <c r="J148" i="13" s="1"/>
  <c r="I159" i="13"/>
  <c r="J159" i="13" s="1"/>
  <c r="I114" i="13"/>
  <c r="J114" i="13" s="1"/>
  <c r="I130" i="13"/>
  <c r="J130" i="13" s="1"/>
  <c r="I121" i="13"/>
  <c r="J121" i="13" s="1"/>
  <c r="I158" i="13"/>
  <c r="J158" i="13" s="1"/>
  <c r="I140" i="13"/>
  <c r="J140" i="13" s="1"/>
  <c r="I115" i="13"/>
  <c r="J115" i="13" s="1"/>
  <c r="I127" i="13"/>
  <c r="J127" i="13" s="1"/>
  <c r="I161" i="13"/>
  <c r="J161" i="13" s="1"/>
  <c r="I151" i="13"/>
  <c r="J151" i="13" s="1"/>
  <c r="I128" i="13"/>
  <c r="J128" i="13" s="1"/>
  <c r="I146" i="13"/>
  <c r="J146" i="13" s="1"/>
  <c r="I105" i="13"/>
  <c r="J105" i="13" s="1"/>
  <c r="I133" i="13"/>
  <c r="J133" i="13" s="1"/>
  <c r="I156" i="13"/>
  <c r="J156" i="13" s="1"/>
  <c r="I150" i="13"/>
  <c r="J150" i="13" s="1"/>
  <c r="I132" i="13"/>
  <c r="J132" i="13" s="1"/>
  <c r="I149" i="13"/>
  <c r="J149" i="13" s="1"/>
  <c r="I113" i="13"/>
  <c r="J113" i="13" s="1"/>
  <c r="I145" i="13"/>
  <c r="J145" i="13" s="1"/>
  <c r="I104" i="13"/>
  <c r="J104" i="13" s="1"/>
  <c r="I108" i="13"/>
  <c r="J108" i="13" s="1"/>
  <c r="I157" i="13"/>
  <c r="J157" i="13" s="1"/>
  <c r="I122" i="13"/>
  <c r="J122" i="13" s="1"/>
  <c r="I147" i="13"/>
  <c r="J147" i="13" s="1"/>
  <c r="I154" i="13"/>
  <c r="J154" i="13" s="1"/>
  <c r="I123" i="13"/>
  <c r="J123" i="13" s="1"/>
  <c r="I124" i="13"/>
  <c r="J124" i="13" s="1"/>
  <c r="I107" i="13"/>
  <c r="J107" i="13" s="1"/>
  <c r="I139" i="13"/>
  <c r="J139" i="13" s="1"/>
  <c r="I118" i="13"/>
  <c r="J118" i="13" s="1"/>
  <c r="I153" i="13"/>
  <c r="J153" i="13" s="1"/>
  <c r="I111" i="13"/>
  <c r="J111" i="13" s="1"/>
  <c r="I119" i="13"/>
  <c r="J119" i="13" s="1"/>
  <c r="I109" i="13"/>
  <c r="J109" i="13" s="1"/>
  <c r="I160" i="13"/>
  <c r="J160" i="13" s="1"/>
  <c r="G1315" i="20"/>
  <c r="G1128" i="20"/>
  <c r="G821" i="20"/>
  <c r="H832" i="20"/>
  <c r="H1473" i="20"/>
  <c r="H1097" i="20"/>
  <c r="H1369" i="20"/>
  <c r="G1311" i="20"/>
  <c r="H1221" i="20"/>
  <c r="G907" i="20"/>
  <c r="N891" i="20" s="1"/>
  <c r="H1047" i="20"/>
  <c r="G1386" i="20"/>
  <c r="G1204" i="20"/>
  <c r="H1454" i="20"/>
  <c r="G1012" i="20"/>
  <c r="G1193" i="20"/>
  <c r="H1183" i="20"/>
  <c r="G1180" i="20"/>
  <c r="H819" i="20"/>
  <c r="G824" i="20"/>
  <c r="G1366" i="20"/>
  <c r="H1403" i="20"/>
  <c r="G996" i="20"/>
  <c r="H996" i="20"/>
  <c r="H905" i="20"/>
  <c r="G1445" i="20"/>
  <c r="G1219" i="20"/>
  <c r="G1227" i="20"/>
  <c r="G865" i="20"/>
  <c r="H1459" i="20"/>
  <c r="H1310" i="20"/>
  <c r="H1200" i="20"/>
  <c r="G1304" i="20"/>
  <c r="H1387" i="20"/>
  <c r="G840" i="20"/>
  <c r="G856" i="20"/>
  <c r="H1119" i="20"/>
  <c r="H863" i="20"/>
  <c r="H1004" i="20"/>
  <c r="G1223" i="20"/>
  <c r="H1020" i="20"/>
  <c r="H1131" i="20"/>
  <c r="G1082" i="20"/>
  <c r="G1478" i="20"/>
  <c r="G920" i="20"/>
  <c r="G1261" i="20"/>
  <c r="G1458" i="20"/>
  <c r="G1405" i="20"/>
  <c r="G836" i="20"/>
  <c r="H1212" i="20"/>
  <c r="G854" i="20"/>
  <c r="G934" i="20"/>
  <c r="G1045" i="20"/>
  <c r="G1486" i="20"/>
  <c r="G1365" i="20"/>
  <c r="H910" i="20"/>
  <c r="G1014" i="20"/>
  <c r="H1086" i="20"/>
  <c r="H1490" i="20"/>
  <c r="H827" i="20"/>
  <c r="G930" i="20"/>
  <c r="H854" i="20"/>
  <c r="G1483" i="20"/>
  <c r="G1360" i="20"/>
  <c r="H1362" i="20"/>
  <c r="G1397" i="20"/>
  <c r="H1225" i="20"/>
  <c r="G1121" i="20"/>
  <c r="G1009" i="20"/>
  <c r="G1184" i="20"/>
  <c r="H1268" i="20"/>
  <c r="H1229" i="20"/>
  <c r="H912" i="20"/>
  <c r="H1478" i="20"/>
  <c r="H959" i="20"/>
  <c r="H1304" i="20"/>
  <c r="G941" i="20"/>
  <c r="H1084" i="20"/>
  <c r="H1291" i="20"/>
  <c r="G1266" i="20"/>
  <c r="H1484" i="20"/>
  <c r="H1130" i="20"/>
  <c r="G1102" i="20"/>
  <c r="G1098" i="20"/>
  <c r="H1378" i="20"/>
  <c r="H1083" i="20"/>
  <c r="G1178" i="20"/>
  <c r="H1117" i="20"/>
  <c r="H911" i="20"/>
  <c r="G1375" i="20"/>
  <c r="G1111" i="20"/>
  <c r="H927" i="20"/>
  <c r="H1371" i="20"/>
  <c r="G909" i="20"/>
  <c r="G1316" i="20"/>
  <c r="H1140" i="20"/>
  <c r="G1295" i="20"/>
  <c r="G1389" i="20"/>
  <c r="H1113" i="20"/>
  <c r="H948" i="20"/>
  <c r="G1024" i="20"/>
  <c r="G1217" i="20"/>
  <c r="H1477" i="20"/>
  <c r="G1302" i="20"/>
  <c r="H1356" i="20"/>
  <c r="H1118" i="20"/>
  <c r="G946" i="20"/>
  <c r="H1452" i="20"/>
  <c r="H1104" i="20"/>
  <c r="G1444" i="20"/>
  <c r="H928" i="20"/>
  <c r="H829" i="20"/>
  <c r="G816" i="20"/>
  <c r="H1308" i="20"/>
  <c r="G932" i="20"/>
  <c r="H1267" i="20"/>
  <c r="H1128" i="20"/>
  <c r="H1397" i="20"/>
  <c r="G1407" i="20"/>
  <c r="G1396" i="20"/>
  <c r="G1451" i="20"/>
  <c r="H1447" i="20"/>
  <c r="G1456" i="20"/>
  <c r="G1126" i="20"/>
  <c r="H1089" i="20"/>
  <c r="H1111" i="20"/>
  <c r="G1362" i="20"/>
  <c r="H1049" i="20"/>
  <c r="H868" i="20"/>
  <c r="H848" i="20"/>
  <c r="G1041" i="20"/>
  <c r="G1229" i="20"/>
  <c r="G1113" i="20"/>
  <c r="H1472" i="20"/>
  <c r="H1211" i="20"/>
  <c r="G1399" i="20"/>
  <c r="G820" i="20"/>
  <c r="G954" i="20"/>
  <c r="G1289" i="20"/>
  <c r="G963" i="20"/>
  <c r="H1406" i="20"/>
  <c r="G1050" i="20"/>
  <c r="G1294" i="20"/>
  <c r="G1025" i="20"/>
  <c r="H1358" i="20"/>
  <c r="H1446" i="20"/>
  <c r="H1213" i="20"/>
  <c r="H1318" i="20"/>
  <c r="G1382" i="20"/>
  <c r="G1030" i="20"/>
  <c r="G855" i="20"/>
  <c r="H1017" i="20"/>
  <c r="H826" i="20"/>
  <c r="H1382" i="20"/>
  <c r="G999" i="20"/>
  <c r="G1222" i="20"/>
  <c r="H908" i="20"/>
  <c r="G1285" i="20"/>
  <c r="G819" i="20"/>
  <c r="H1457" i="20"/>
  <c r="H1108" i="20"/>
  <c r="H1023" i="20"/>
  <c r="G1196" i="20"/>
  <c r="H1274" i="20"/>
  <c r="H1390" i="20"/>
  <c r="H1463" i="20"/>
  <c r="G1303" i="20"/>
  <c r="G1374" i="20"/>
  <c r="G846" i="20"/>
  <c r="H1498" i="20"/>
  <c r="G1309" i="20"/>
  <c r="G1097" i="20"/>
  <c r="G1439" i="20"/>
  <c r="H1297" i="20"/>
  <c r="H1215" i="20"/>
  <c r="G1361" i="20"/>
  <c r="H937" i="20"/>
  <c r="G1300" i="20"/>
  <c r="H1394" i="20"/>
  <c r="H922" i="20"/>
  <c r="G1296" i="20"/>
  <c r="G1175" i="20"/>
  <c r="H1295" i="20"/>
  <c r="G1218" i="20"/>
  <c r="G1400" i="20"/>
  <c r="H954" i="20"/>
  <c r="G1473" i="20"/>
  <c r="H1110" i="20"/>
  <c r="G1008" i="20"/>
  <c r="H860" i="20"/>
  <c r="G1115" i="20"/>
  <c r="G915" i="20"/>
  <c r="G1099" i="20"/>
  <c r="H1302" i="20"/>
  <c r="G1268" i="20"/>
  <c r="G1371" i="20"/>
  <c r="H1095" i="20"/>
  <c r="G1284" i="20"/>
  <c r="H923" i="20"/>
  <c r="G939" i="20"/>
  <c r="G1373" i="20"/>
  <c r="G1177" i="20"/>
  <c r="H925" i="20"/>
  <c r="H1123" i="20"/>
  <c r="G1447" i="20"/>
  <c r="G1122" i="20"/>
  <c r="H1450" i="20"/>
  <c r="H1010" i="20"/>
  <c r="G1004" i="20"/>
  <c r="G1015" i="20"/>
  <c r="H864" i="20"/>
  <c r="G1179" i="20"/>
  <c r="G1297" i="20"/>
  <c r="G1394" i="20"/>
  <c r="H828" i="20"/>
  <c r="H1286" i="20"/>
  <c r="G1472" i="20"/>
  <c r="H929" i="20"/>
  <c r="H1050" i="20"/>
  <c r="G1213" i="20"/>
  <c r="G1450" i="20"/>
  <c r="G1000" i="20"/>
  <c r="G1262" i="20"/>
  <c r="N1248" i="20" s="1"/>
  <c r="H1405" i="20"/>
  <c r="I1405" i="20" s="1"/>
  <c r="H1041" i="20"/>
  <c r="G1088" i="20"/>
  <c r="G1355" i="20"/>
  <c r="H1471" i="20"/>
  <c r="G1306" i="20"/>
  <c r="G936" i="20"/>
  <c r="H1476" i="20"/>
  <c r="G864" i="20"/>
  <c r="G916" i="20"/>
  <c r="H1293" i="20"/>
  <c r="H1011" i="20"/>
  <c r="G1368" i="20"/>
  <c r="H1483" i="20"/>
  <c r="G1013" i="20"/>
  <c r="G1112" i="20"/>
  <c r="H1461" i="20"/>
  <c r="G1020" i="20"/>
  <c r="G1298" i="20"/>
  <c r="H1451" i="20"/>
  <c r="H1022" i="20"/>
  <c r="H1392" i="20"/>
  <c r="H1497" i="20"/>
  <c r="G1395" i="20"/>
  <c r="G1491" i="20"/>
  <c r="G908" i="20"/>
  <c r="G1108" i="20"/>
  <c r="H1185" i="20"/>
  <c r="G1273" i="20"/>
  <c r="G1318" i="20"/>
  <c r="G1049" i="20"/>
  <c r="H837" i="20"/>
  <c r="G923" i="20"/>
  <c r="G1139" i="20"/>
  <c r="H817" i="20"/>
  <c r="H862" i="20"/>
  <c r="H1139" i="20"/>
  <c r="G1202" i="20"/>
  <c r="H1008" i="20"/>
  <c r="H1441" i="20"/>
  <c r="H1085" i="20"/>
  <c r="G1460" i="20"/>
  <c r="G1046" i="20"/>
  <c r="H843" i="20"/>
  <c r="G959" i="20"/>
  <c r="H1272" i="20"/>
  <c r="G853" i="20"/>
  <c r="H1192" i="20"/>
  <c r="H1455" i="20"/>
  <c r="H1178" i="20"/>
  <c r="H1263" i="20"/>
  <c r="G1138" i="20"/>
  <c r="H1182" i="20"/>
  <c r="G1018" i="20"/>
  <c r="G1385" i="20"/>
  <c r="H852" i="20"/>
  <c r="G1498" i="20"/>
  <c r="G1095" i="20"/>
  <c r="G942" i="20"/>
  <c r="H1039" i="20"/>
  <c r="H1012" i="20"/>
  <c r="H874" i="20"/>
  <c r="H1201" i="20"/>
  <c r="G858" i="20"/>
  <c r="H1265" i="20"/>
  <c r="H1092" i="20"/>
  <c r="G1359" i="20"/>
  <c r="H1279" i="20"/>
  <c r="G1496" i="20"/>
  <c r="H1136" i="20"/>
  <c r="G1198" i="20"/>
  <c r="H1024" i="20"/>
  <c r="H1198" i="20"/>
  <c r="G1293" i="20"/>
  <c r="G910" i="20"/>
  <c r="G1093" i="20"/>
  <c r="H1474" i="20"/>
  <c r="G1005" i="20"/>
  <c r="G994" i="20"/>
  <c r="N980" i="20" s="1"/>
  <c r="G1495" i="20"/>
  <c r="G1310" i="20"/>
  <c r="G1467" i="20"/>
  <c r="H963" i="20"/>
  <c r="G873" i="20"/>
  <c r="H1453" i="20"/>
  <c r="H945" i="20"/>
  <c r="G1181" i="20"/>
  <c r="H857" i="20"/>
  <c r="G1133" i="20"/>
  <c r="H1000" i="20"/>
  <c r="H1016" i="20"/>
  <c r="G1182" i="20"/>
  <c r="H1305" i="20"/>
  <c r="G949" i="20"/>
  <c r="G1470" i="20"/>
  <c r="G1281" i="20"/>
  <c r="H1093" i="20"/>
  <c r="G951" i="20"/>
  <c r="G1185" i="20"/>
  <c r="H930" i="20"/>
  <c r="G1029" i="20"/>
  <c r="G913" i="20"/>
  <c r="H1002" i="20"/>
  <c r="G1044" i="20"/>
  <c r="H994" i="20"/>
  <c r="G1173" i="20"/>
  <c r="N1159" i="20" s="1"/>
  <c r="H1218" i="20"/>
  <c r="G1469" i="20"/>
  <c r="H1133" i="20"/>
  <c r="G863" i="20"/>
  <c r="H838" i="20"/>
  <c r="G1363" i="20"/>
  <c r="H933" i="20"/>
  <c r="G1211" i="20"/>
  <c r="G1369" i="20"/>
  <c r="H1314" i="20"/>
  <c r="H1138" i="20"/>
  <c r="H1141" i="20"/>
  <c r="G1186" i="20"/>
  <c r="G1457" i="20"/>
  <c r="G1406" i="20"/>
  <c r="G1461" i="20"/>
  <c r="G1487" i="20"/>
  <c r="H1115" i="20"/>
  <c r="H1036" i="20"/>
  <c r="G1038" i="20"/>
  <c r="H1262" i="20"/>
  <c r="G1023" i="20"/>
  <c r="G1482" i="20"/>
  <c r="H1009" i="20"/>
  <c r="H926" i="20"/>
  <c r="H907" i="20"/>
  <c r="G1127" i="20"/>
  <c r="H914" i="20"/>
  <c r="G924" i="20"/>
  <c r="G1103" i="20"/>
  <c r="H1289" i="20"/>
  <c r="H1465" i="20"/>
  <c r="G1278" i="20"/>
  <c r="G1089" i="20"/>
  <c r="H1388" i="20"/>
  <c r="H865" i="20"/>
  <c r="I865" i="20" s="1"/>
  <c r="H955" i="20"/>
  <c r="H932" i="20"/>
  <c r="H1395" i="20"/>
  <c r="H935" i="20"/>
  <c r="H1492" i="20"/>
  <c r="G1210" i="20"/>
  <c r="H1379" i="20"/>
  <c r="H1179" i="20"/>
  <c r="H1174" i="20"/>
  <c r="G1459" i="20"/>
  <c r="G1183" i="20"/>
  <c r="H1121" i="20"/>
  <c r="G1380" i="20"/>
  <c r="H1116" i="20"/>
  <c r="G1032" i="20"/>
  <c r="G1319" i="20"/>
  <c r="G1453" i="20"/>
  <c r="H1103" i="20"/>
  <c r="I1103" i="20" s="1"/>
  <c r="H1090" i="20"/>
  <c r="G1358" i="20"/>
  <c r="G1100" i="20"/>
  <c r="H1359" i="20"/>
  <c r="H1277" i="20"/>
  <c r="H1466" i="20"/>
  <c r="H1266" i="20"/>
  <c r="G866" i="20"/>
  <c r="H1442" i="20"/>
  <c r="G1021" i="20"/>
  <c r="H1264" i="20"/>
  <c r="G919" i="20"/>
  <c r="G1051" i="20"/>
  <c r="H1365" i="20"/>
  <c r="H952" i="20"/>
  <c r="H1038" i="20"/>
  <c r="H1401" i="20"/>
  <c r="H906" i="20"/>
  <c r="H1203" i="20"/>
  <c r="H1228" i="20"/>
  <c r="G1283" i="20"/>
  <c r="G956" i="20"/>
  <c r="H1175" i="20"/>
  <c r="I1175" i="20" s="1"/>
  <c r="H822" i="20"/>
  <c r="H1214" i="20"/>
  <c r="H1402" i="20"/>
  <c r="H1193" i="20"/>
  <c r="G1011" i="20"/>
  <c r="H1208" i="20"/>
  <c r="H1006" i="20"/>
  <c r="G1033" i="20"/>
  <c r="G1391" i="20"/>
  <c r="H915" i="20"/>
  <c r="I915" i="20" s="1"/>
  <c r="H867" i="20"/>
  <c r="G1084" i="20"/>
  <c r="H1196" i="20"/>
  <c r="G860" i="20"/>
  <c r="G1392" i="20"/>
  <c r="G1490" i="20"/>
  <c r="H1404" i="20"/>
  <c r="G1269" i="20"/>
  <c r="G1494" i="20"/>
  <c r="G1376" i="20"/>
  <c r="H1355" i="20"/>
  <c r="I1355" i="20" s="1"/>
  <c r="H1448" i="20"/>
  <c r="H957" i="20"/>
  <c r="G1383" i="20"/>
  <c r="G1120" i="20"/>
  <c r="H1469" i="20"/>
  <c r="H1456" i="20"/>
  <c r="H1467" i="20"/>
  <c r="G1137" i="20"/>
  <c r="H1287" i="20"/>
  <c r="H1003" i="20"/>
  <c r="H1487" i="20"/>
  <c r="G1206" i="20"/>
  <c r="H1091" i="20"/>
  <c r="G1104" i="20"/>
  <c r="G1463" i="20"/>
  <c r="G1176" i="20"/>
  <c r="G1312" i="20"/>
  <c r="G995" i="20"/>
  <c r="G1464" i="20"/>
  <c r="G1225" i="20"/>
  <c r="H1367" i="20"/>
  <c r="H962" i="20"/>
  <c r="G1136" i="20"/>
  <c r="H1383" i="20"/>
  <c r="H1029" i="20"/>
  <c r="H909" i="20"/>
  <c r="G825" i="20"/>
  <c r="H1396" i="20"/>
  <c r="H1408" i="20"/>
  <c r="G1048" i="20"/>
  <c r="G912" i="20"/>
  <c r="H1357" i="20"/>
  <c r="G927" i="20"/>
  <c r="H1098" i="20"/>
  <c r="G1409" i="20"/>
  <c r="H1105" i="20"/>
  <c r="G1123" i="20"/>
  <c r="G1216" i="20"/>
  <c r="G921" i="20"/>
  <c r="G1477" i="20"/>
  <c r="H1488" i="20"/>
  <c r="G1036" i="20"/>
  <c r="H1353" i="20"/>
  <c r="G1140" i="20"/>
  <c r="H839" i="20"/>
  <c r="G1231" i="20"/>
  <c r="G1110" i="20"/>
  <c r="H858" i="20"/>
  <c r="H1299" i="20"/>
  <c r="G1035" i="20"/>
  <c r="G1287" i="20"/>
  <c r="H1044" i="20"/>
  <c r="I1044" i="20" s="1"/>
  <c r="G1263" i="20"/>
  <c r="H833" i="20"/>
  <c r="H1184" i="20"/>
  <c r="G1442" i="20"/>
  <c r="G931" i="20"/>
  <c r="G1134" i="20"/>
  <c r="G1090" i="20"/>
  <c r="H861" i="20"/>
  <c r="H1132" i="20"/>
  <c r="H1443" i="20"/>
  <c r="H1485" i="20"/>
  <c r="H1035" i="20"/>
  <c r="G937" i="20"/>
  <c r="H1381" i="20"/>
  <c r="G943" i="20"/>
  <c r="H850" i="20"/>
  <c r="G961" i="20"/>
  <c r="H1393" i="20"/>
  <c r="H921" i="20"/>
  <c r="G1205" i="20"/>
  <c r="G1199" i="20"/>
  <c r="H830" i="20"/>
  <c r="G935" i="20"/>
  <c r="G1230" i="20"/>
  <c r="G1174" i="20"/>
  <c r="H1275" i="20"/>
  <c r="H1018" i="20"/>
  <c r="H1030" i="20"/>
  <c r="H924" i="20"/>
  <c r="H1271" i="20"/>
  <c r="G993" i="20"/>
  <c r="H1364" i="20"/>
  <c r="G1114" i="20"/>
  <c r="H835" i="20"/>
  <c r="G845" i="20"/>
  <c r="G1489" i="20"/>
  <c r="H1099" i="20"/>
  <c r="G1388" i="20"/>
  <c r="G958" i="20"/>
  <c r="G1351" i="20"/>
  <c r="N1337" i="20" s="1"/>
  <c r="H1445" i="20"/>
  <c r="H856" i="20"/>
  <c r="G1267" i="20"/>
  <c r="H1088" i="20"/>
  <c r="G1109" i="20"/>
  <c r="G1279" i="20"/>
  <c r="G1017" i="20"/>
  <c r="G1288" i="20"/>
  <c r="H1462" i="20"/>
  <c r="H1001" i="20"/>
  <c r="H1219" i="20"/>
  <c r="G955" i="20"/>
  <c r="H1137" i="20"/>
  <c r="G1292" i="20"/>
  <c r="G868" i="20"/>
  <c r="G1101" i="20"/>
  <c r="G1352" i="20"/>
  <c r="G918" i="20"/>
  <c r="H1005" i="20"/>
  <c r="G1226" i="20"/>
  <c r="G1047" i="20"/>
  <c r="G1378" i="20"/>
  <c r="H836" i="20"/>
  <c r="H1303" i="20"/>
  <c r="H1106" i="20"/>
  <c r="I811" i="20"/>
  <c r="G1119" i="20"/>
  <c r="H831" i="20"/>
  <c r="H1475" i="20"/>
  <c r="H872" i="20"/>
  <c r="H1190" i="20"/>
  <c r="G1277" i="20"/>
  <c r="G869" i="20"/>
  <c r="G1393" i="20"/>
  <c r="H997" i="20"/>
  <c r="G1027" i="20"/>
  <c r="G1107" i="20"/>
  <c r="H1217" i="20"/>
  <c r="H1189" i="20"/>
  <c r="H1380" i="20"/>
  <c r="H1481" i="20"/>
  <c r="G948" i="20"/>
  <c r="H1195" i="20"/>
  <c r="G1189" i="20"/>
  <c r="G1466" i="20"/>
  <c r="G1037" i="20"/>
  <c r="G906" i="20"/>
  <c r="G1481" i="20"/>
  <c r="G1455" i="20"/>
  <c r="H1180" i="20"/>
  <c r="G1031" i="20"/>
  <c r="G1188" i="20"/>
  <c r="G1354" i="20"/>
  <c r="H1202" i="20"/>
  <c r="I1202" i="20" s="1"/>
  <c r="G874" i="20"/>
  <c r="G926" i="20"/>
  <c r="G1094" i="20"/>
  <c r="H1373" i="20"/>
  <c r="I1373" i="20" s="1"/>
  <c r="H853" i="20"/>
  <c r="H1227" i="20"/>
  <c r="G1034" i="20"/>
  <c r="H870" i="20"/>
  <c r="H1045" i="20"/>
  <c r="G1272" i="20"/>
  <c r="H1351" i="20"/>
  <c r="H1460" i="20"/>
  <c r="I1460" i="20" s="1"/>
  <c r="G1116" i="20"/>
  <c r="H1206" i="20"/>
  <c r="H1376" i="20"/>
  <c r="H920" i="20"/>
  <c r="I920" i="20" s="1"/>
  <c r="H1188" i="20"/>
  <c r="G861" i="20"/>
  <c r="H842" i="20"/>
  <c r="G1485" i="20"/>
  <c r="H961" i="20"/>
  <c r="H1046" i="20"/>
  <c r="G852" i="20"/>
  <c r="G1372" i="20"/>
  <c r="G1091" i="20"/>
  <c r="G1356" i="20"/>
  <c r="H847" i="20"/>
  <c r="G1132" i="20"/>
  <c r="G1105" i="20"/>
  <c r="H958" i="20"/>
  <c r="H1015" i="20"/>
  <c r="H1495" i="20"/>
  <c r="H1026" i="20"/>
  <c r="H939" i="20"/>
  <c r="G830" i="20"/>
  <c r="G922" i="20"/>
  <c r="G1207" i="20"/>
  <c r="H1374" i="20"/>
  <c r="G831" i="20"/>
  <c r="H1014" i="20"/>
  <c r="G1130" i="20"/>
  <c r="H1100" i="20"/>
  <c r="G1087" i="20"/>
  <c r="G1200" i="20"/>
  <c r="G1403" i="20"/>
  <c r="H1173" i="20"/>
  <c r="H1028" i="20"/>
  <c r="G904" i="20"/>
  <c r="H823" i="20"/>
  <c r="H1361" i="20"/>
  <c r="H1134" i="20"/>
  <c r="G1475" i="20"/>
  <c r="G1476" i="20"/>
  <c r="G1320" i="20"/>
  <c r="G917" i="20"/>
  <c r="H1031" i="20"/>
  <c r="H821" i="20"/>
  <c r="H1040" i="20"/>
  <c r="H1294" i="20"/>
  <c r="H1281" i="20"/>
  <c r="G1141" i="20"/>
  <c r="H941" i="20"/>
  <c r="G1440" i="20"/>
  <c r="N1426" i="20" s="1"/>
  <c r="H951" i="20"/>
  <c r="G847" i="20"/>
  <c r="H1205" i="20"/>
  <c r="H1120" i="20"/>
  <c r="H820" i="20"/>
  <c r="I820" i="20" s="1"/>
  <c r="G1488" i="20"/>
  <c r="H859" i="20"/>
  <c r="G1350" i="20"/>
  <c r="G944" i="20"/>
  <c r="G862" i="20"/>
  <c r="H1032" i="20"/>
  <c r="G1471" i="20"/>
  <c r="G849" i="20"/>
  <c r="H1176" i="20"/>
  <c r="H1284" i="20"/>
  <c r="G1208" i="20"/>
  <c r="H1316" i="20"/>
  <c r="G1299" i="20"/>
  <c r="G1220" i="20"/>
  <c r="H1222" i="20"/>
  <c r="H824" i="20"/>
  <c r="H1114" i="20"/>
  <c r="G1129" i="20"/>
  <c r="G1484" i="20"/>
  <c r="G1452" i="20"/>
  <c r="H1191" i="20"/>
  <c r="H1034" i="20"/>
  <c r="G1040" i="20"/>
  <c r="G1001" i="20"/>
  <c r="G832" i="20"/>
  <c r="H1269" i="20"/>
  <c r="H1194" i="20"/>
  <c r="G822" i="20"/>
  <c r="G1026" i="20"/>
  <c r="G960" i="20"/>
  <c r="H855" i="20"/>
  <c r="G829" i="20"/>
  <c r="G837" i="20"/>
  <c r="H1223" i="20"/>
  <c r="H1486" i="20"/>
  <c r="G1002" i="20"/>
  <c r="G1197" i="20"/>
  <c r="H818" i="20"/>
  <c r="G1022" i="20"/>
  <c r="H1464" i="20"/>
  <c r="H1129" i="20"/>
  <c r="H1230" i="20"/>
  <c r="G938" i="20"/>
  <c r="G1384" i="20"/>
  <c r="G1474" i="20"/>
  <c r="H1319" i="20"/>
  <c r="H1354" i="20"/>
  <c r="H1298" i="20"/>
  <c r="G905" i="20"/>
  <c r="H1109" i="20"/>
  <c r="H1370" i="20"/>
  <c r="G1203" i="20"/>
  <c r="G1214" i="20"/>
  <c r="G1286" i="20"/>
  <c r="G1441" i="20"/>
  <c r="H816" i="20"/>
  <c r="I816" i="20" s="1"/>
  <c r="H1187" i="20"/>
  <c r="H1288" i="20"/>
  <c r="H1226" i="20"/>
  <c r="H1042" i="20"/>
  <c r="G998" i="20"/>
  <c r="G1280" i="20"/>
  <c r="G1096" i="20"/>
  <c r="H1306" i="20"/>
  <c r="H947" i="20"/>
  <c r="H849" i="20"/>
  <c r="H1112" i="20"/>
  <c r="H1181" i="20"/>
  <c r="H1494" i="20"/>
  <c r="H1037" i="20"/>
  <c r="G1131" i="20"/>
  <c r="G1402" i="20"/>
  <c r="H1320" i="20"/>
  <c r="G940" i="20"/>
  <c r="H1470" i="20"/>
  <c r="H1285" i="20"/>
  <c r="G1308" i="20"/>
  <c r="H1224" i="20"/>
  <c r="G1390" i="20"/>
  <c r="G1228" i="20"/>
  <c r="H1124" i="20"/>
  <c r="H1444" i="20"/>
  <c r="G1106" i="20"/>
  <c r="G1086" i="20"/>
  <c r="H944" i="20"/>
  <c r="G1083" i="20"/>
  <c r="N1069" i="20" s="1"/>
  <c r="G871" i="20"/>
  <c r="H1033" i="20"/>
  <c r="H1186" i="20"/>
  <c r="H1043" i="20"/>
  <c r="H1496" i="20"/>
  <c r="I1496" i="20" s="1"/>
  <c r="H1177" i="20"/>
  <c r="G1314" i="20"/>
  <c r="H1389" i="20"/>
  <c r="H1292" i="20"/>
  <c r="G945" i="20"/>
  <c r="H1300" i="20"/>
  <c r="I1300" i="20" s="1"/>
  <c r="G1398" i="20"/>
  <c r="H1312" i="20"/>
  <c r="I1312" i="20" s="1"/>
  <c r="H1375" i="20"/>
  <c r="H1309" i="20"/>
  <c r="G835" i="20"/>
  <c r="H1468" i="20"/>
  <c r="G1275" i="20"/>
  <c r="H1391" i="20"/>
  <c r="G827" i="20"/>
  <c r="N802" i="20" s="1"/>
  <c r="H834" i="20"/>
  <c r="G1271" i="20"/>
  <c r="G1401" i="20"/>
  <c r="G962" i="20"/>
  <c r="G1357" i="20"/>
  <c r="G1291" i="20"/>
  <c r="G950" i="20"/>
  <c r="H871" i="20"/>
  <c r="G1462" i="20"/>
  <c r="G1172" i="20"/>
  <c r="H873" i="20"/>
  <c r="H1102" i="20"/>
  <c r="G925" i="20"/>
  <c r="G815" i="20"/>
  <c r="H1458" i="20"/>
  <c r="G823" i="20"/>
  <c r="G1039" i="20"/>
  <c r="H1013" i="20"/>
  <c r="G1265" i="20"/>
  <c r="G1006" i="20"/>
  <c r="H1220" i="20"/>
  <c r="H1282" i="20"/>
  <c r="G1264" i="20"/>
  <c r="G1379" i="20"/>
  <c r="G818" i="20"/>
  <c r="H943" i="20"/>
  <c r="G1449" i="20"/>
  <c r="H942" i="20"/>
  <c r="H1276" i="20"/>
  <c r="H1352" i="20"/>
  <c r="G1317" i="20"/>
  <c r="G1465" i="20"/>
  <c r="H825" i="20"/>
  <c r="H1301" i="20"/>
  <c r="H1283" i="20"/>
  <c r="H1368" i="20"/>
  <c r="G1387" i="20"/>
  <c r="G1191" i="20"/>
  <c r="G1446" i="20"/>
  <c r="H946" i="20"/>
  <c r="I946" i="20" s="1"/>
  <c r="G914" i="20"/>
  <c r="H1384" i="20"/>
  <c r="I1384" i="20" s="1"/>
  <c r="G1404" i="20"/>
  <c r="H931" i="20"/>
  <c r="H1094" i="20"/>
  <c r="I1094" i="20" s="1"/>
  <c r="H1489" i="20"/>
  <c r="G1190" i="20"/>
  <c r="G1364" i="20"/>
  <c r="G1282" i="20"/>
  <c r="H1270" i="20"/>
  <c r="H1440" i="20"/>
  <c r="G1305" i="20"/>
  <c r="G859" i="20"/>
  <c r="G1221" i="20"/>
  <c r="G1270" i="20"/>
  <c r="H1400" i="20"/>
  <c r="H1048" i="20"/>
  <c r="H1021" i="20"/>
  <c r="H1377" i="20"/>
  <c r="G1192" i="20"/>
  <c r="G1290" i="20"/>
  <c r="G1307" i="20"/>
  <c r="H1051" i="20"/>
  <c r="H917" i="20"/>
  <c r="H1107" i="20"/>
  <c r="I1107" i="20" s="1"/>
  <c r="H936" i="20"/>
  <c r="G952" i="20"/>
  <c r="H1199" i="20"/>
  <c r="H1409" i="20"/>
  <c r="H1407" i="20"/>
  <c r="G911" i="20"/>
  <c r="H1027" i="20"/>
  <c r="I1027" i="20" s="1"/>
  <c r="G933" i="20"/>
  <c r="G953" i="20"/>
  <c r="G842" i="20"/>
  <c r="G850" i="20"/>
  <c r="H1280" i="20"/>
  <c r="G947" i="20"/>
  <c r="H1290" i="20"/>
  <c r="G1194" i="20"/>
  <c r="G867" i="20"/>
  <c r="G1468" i="20"/>
  <c r="H1197" i="20"/>
  <c r="H1204" i="20"/>
  <c r="H949" i="20"/>
  <c r="G928" i="20"/>
  <c r="H841" i="20"/>
  <c r="H998" i="20"/>
  <c r="G1085" i="20"/>
  <c r="H1311" i="20"/>
  <c r="G826" i="20"/>
  <c r="G997" i="20"/>
  <c r="G1274" i="20"/>
  <c r="H1019" i="20"/>
  <c r="G1448" i="20"/>
  <c r="G838" i="20"/>
  <c r="H1360" i="20"/>
  <c r="G1003" i="20"/>
  <c r="G1042" i="20"/>
  <c r="H1052" i="20"/>
  <c r="H1216" i="20"/>
  <c r="H940" i="20"/>
  <c r="G1480" i="20"/>
  <c r="G1187" i="20"/>
  <c r="H960" i="20"/>
  <c r="H1125" i="20"/>
  <c r="H845" i="20"/>
  <c r="H1480" i="20"/>
  <c r="G1195" i="20"/>
  <c r="H1372" i="20"/>
  <c r="H1366" i="20"/>
  <c r="H1493" i="20"/>
  <c r="G1007" i="20"/>
  <c r="H1398" i="20"/>
  <c r="G1118" i="20"/>
  <c r="G1010" i="20"/>
  <c r="G1135" i="20"/>
  <c r="G1052" i="20"/>
  <c r="H1386" i="20"/>
  <c r="H1479" i="20"/>
  <c r="G1224" i="20"/>
  <c r="G1454" i="20"/>
  <c r="H1207" i="20"/>
  <c r="H1231" i="20"/>
  <c r="H1482" i="20"/>
  <c r="I1482" i="20" s="1"/>
  <c r="G817" i="20"/>
  <c r="H1307" i="20"/>
  <c r="H1025" i="20"/>
  <c r="G1479" i="20"/>
  <c r="G1016" i="20"/>
  <c r="H1126" i="20"/>
  <c r="G1353" i="20"/>
  <c r="G828" i="20"/>
  <c r="G1493" i="20"/>
  <c r="H1135" i="20"/>
  <c r="H918" i="20"/>
  <c r="H1313" i="20"/>
  <c r="G929" i="20"/>
  <c r="H1278" i="20"/>
  <c r="H844" i="20"/>
  <c r="G857" i="20"/>
  <c r="G1377" i="20"/>
  <c r="H851" i="20"/>
  <c r="G844" i="20"/>
  <c r="G1215" i="20"/>
  <c r="H919" i="20"/>
  <c r="H1273" i="20"/>
  <c r="H866" i="20"/>
  <c r="I866" i="20" s="1"/>
  <c r="G1408" i="20"/>
  <c r="H1127" i="20"/>
  <c r="G957" i="20"/>
  <c r="G1028" i="20"/>
  <c r="H1317" i="20"/>
  <c r="G1043" i="20"/>
  <c r="G1019" i="20"/>
  <c r="G1367" i="20"/>
  <c r="H840" i="20"/>
  <c r="G870" i="20"/>
  <c r="G1370" i="20"/>
  <c r="H995" i="20"/>
  <c r="G1209" i="20"/>
  <c r="H913" i="20"/>
  <c r="I913" i="20" s="1"/>
  <c r="G872" i="20"/>
  <c r="G834" i="20"/>
  <c r="H1399" i="20"/>
  <c r="I1399" i="20" s="1"/>
  <c r="H1315" i="20"/>
  <c r="G1443" i="20"/>
  <c r="H1122" i="20"/>
  <c r="H846" i="20"/>
  <c r="H1087" i="20"/>
  <c r="H956" i="20"/>
  <c r="G1117" i="20"/>
  <c r="H1096" i="20"/>
  <c r="I1096" i="20" s="1"/>
  <c r="H938" i="20"/>
  <c r="H1491" i="20"/>
  <c r="G841" i="20"/>
  <c r="G843" i="20"/>
  <c r="G1497" i="20"/>
  <c r="H999" i="20"/>
  <c r="H916" i="20"/>
  <c r="H1449" i="20"/>
  <c r="G1313" i="20"/>
  <c r="H953" i="20"/>
  <c r="G851" i="20"/>
  <c r="G1124" i="20"/>
  <c r="H950" i="20"/>
  <c r="G1276" i="20"/>
  <c r="G839" i="20"/>
  <c r="G1301" i="20"/>
  <c r="H1101" i="20"/>
  <c r="G1492" i="20"/>
  <c r="H1363" i="20"/>
  <c r="G833" i="20"/>
  <c r="G1212" i="20"/>
  <c r="G1381" i="20"/>
  <c r="H1007" i="20"/>
  <c r="H1210" i="20"/>
  <c r="H1209" i="20"/>
  <c r="H934" i="20"/>
  <c r="H869" i="20"/>
  <c r="G848" i="20"/>
  <c r="G1092" i="20"/>
  <c r="G1201" i="20"/>
  <c r="H1296" i="20"/>
  <c r="G1125" i="20"/>
  <c r="H1385" i="20"/>
  <c r="G234" i="20"/>
  <c r="I188" i="20"/>
  <c r="G192" i="20"/>
  <c r="G232" i="20"/>
  <c r="G206" i="20"/>
  <c r="G225" i="20"/>
  <c r="G250" i="20"/>
  <c r="G210" i="20"/>
  <c r="G231" i="20"/>
  <c r="G208" i="20"/>
  <c r="G202" i="20"/>
  <c r="G247" i="20"/>
  <c r="G209" i="20"/>
  <c r="G229" i="20"/>
  <c r="G238" i="20"/>
  <c r="G211" i="20"/>
  <c r="G233" i="20"/>
  <c r="G201" i="20"/>
  <c r="G218" i="20"/>
  <c r="G239" i="20"/>
  <c r="G198" i="20"/>
  <c r="G241" i="20"/>
  <c r="G228" i="20"/>
  <c r="G240" i="20"/>
  <c r="G230" i="20"/>
  <c r="G194" i="20"/>
  <c r="G196" i="20"/>
  <c r="G251" i="20"/>
  <c r="G215" i="20"/>
  <c r="G244" i="20"/>
  <c r="G226" i="20"/>
  <c r="G203" i="20"/>
  <c r="G217" i="20"/>
  <c r="G219" i="20"/>
  <c r="G213" i="20"/>
  <c r="G221" i="20"/>
  <c r="G214" i="20"/>
  <c r="G197" i="20"/>
  <c r="G227" i="20"/>
  <c r="G195" i="20"/>
  <c r="G242" i="20"/>
  <c r="G205" i="20"/>
  <c r="G222" i="20"/>
  <c r="G212" i="20"/>
  <c r="G224" i="20"/>
  <c r="G237" i="20"/>
  <c r="G245" i="20"/>
  <c r="G200" i="20"/>
  <c r="G243" i="20"/>
  <c r="G204" i="20"/>
  <c r="N179" i="20" s="1"/>
  <c r="G246" i="20"/>
  <c r="G235" i="20"/>
  <c r="G248" i="20"/>
  <c r="G207" i="20"/>
  <c r="G193" i="20"/>
  <c r="G249" i="20"/>
  <c r="G220" i="20"/>
  <c r="G216" i="20"/>
  <c r="G223" i="20"/>
  <c r="G199" i="20"/>
  <c r="G236" i="20"/>
  <c r="G386" i="20"/>
  <c r="G394" i="20"/>
  <c r="G373" i="20"/>
  <c r="G415" i="20"/>
  <c r="G426" i="20"/>
  <c r="G380" i="20"/>
  <c r="G412" i="20"/>
  <c r="G402" i="20"/>
  <c r="G427" i="20"/>
  <c r="G420" i="20"/>
  <c r="G417" i="20"/>
  <c r="G399" i="20"/>
  <c r="G419" i="20"/>
  <c r="G390" i="20"/>
  <c r="G384" i="20"/>
  <c r="G425" i="20"/>
  <c r="G428" i="20"/>
  <c r="G387" i="20"/>
  <c r="G370" i="20"/>
  <c r="G376" i="20"/>
  <c r="G393" i="20"/>
  <c r="G375" i="20"/>
  <c r="G388" i="20"/>
  <c r="G382" i="20"/>
  <c r="G371" i="20"/>
  <c r="G396" i="20"/>
  <c r="G403" i="20"/>
  <c r="G372" i="20"/>
  <c r="G424" i="20"/>
  <c r="G416" i="20"/>
  <c r="G410" i="20"/>
  <c r="G400" i="20"/>
  <c r="G404" i="20"/>
  <c r="G379" i="20"/>
  <c r="N357" i="20" s="1"/>
  <c r="G397" i="20"/>
  <c r="G381" i="20"/>
  <c r="G385" i="20"/>
  <c r="G421" i="20"/>
  <c r="G408" i="20"/>
  <c r="G422" i="20"/>
  <c r="G418" i="20"/>
  <c r="G413" i="20"/>
  <c r="G423" i="20"/>
  <c r="G374" i="20"/>
  <c r="G389" i="20"/>
  <c r="G407" i="20"/>
  <c r="G406" i="20"/>
  <c r="G398" i="20"/>
  <c r="G392" i="20"/>
  <c r="G411" i="20"/>
  <c r="G429" i="20"/>
  <c r="G405" i="20"/>
  <c r="G378" i="20"/>
  <c r="G391" i="20"/>
  <c r="G395" i="20"/>
  <c r="G414" i="20"/>
  <c r="I366" i="20"/>
  <c r="G401" i="20"/>
  <c r="G377" i="20"/>
  <c r="G409" i="20"/>
  <c r="G383" i="20"/>
  <c r="G680" i="20"/>
  <c r="G662" i="20"/>
  <c r="G696" i="20"/>
  <c r="G667" i="20"/>
  <c r="G664" i="20"/>
  <c r="G687" i="20"/>
  <c r="G668" i="20"/>
  <c r="G690" i="20"/>
  <c r="G642" i="20"/>
  <c r="G637" i="20"/>
  <c r="G669" i="20"/>
  <c r="G656" i="20"/>
  <c r="G661" i="20"/>
  <c r="G689" i="20"/>
  <c r="G672" i="20"/>
  <c r="G673" i="20"/>
  <c r="G658" i="20"/>
  <c r="G655" i="20"/>
  <c r="G644" i="20"/>
  <c r="G663" i="20"/>
  <c r="G650" i="20"/>
  <c r="G652" i="20"/>
  <c r="G648" i="20"/>
  <c r="G681" i="20"/>
  <c r="G670" i="20"/>
  <c r="G643" i="20"/>
  <c r="G695" i="20"/>
  <c r="G639" i="20"/>
  <c r="G683" i="20"/>
  <c r="G686" i="20"/>
  <c r="G691" i="20"/>
  <c r="G654" i="20"/>
  <c r="G684" i="20"/>
  <c r="G676" i="20"/>
  <c r="G674" i="20"/>
  <c r="G677" i="20"/>
  <c r="I633" i="20"/>
  <c r="G679" i="20"/>
  <c r="G688" i="20"/>
  <c r="G671" i="20"/>
  <c r="G640" i="20"/>
  <c r="G651" i="20"/>
  <c r="G693" i="20"/>
  <c r="G641" i="20"/>
  <c r="G645" i="20"/>
  <c r="G659" i="20"/>
  <c r="G666" i="20"/>
  <c r="G657" i="20"/>
  <c r="G692" i="20"/>
  <c r="G638" i="20"/>
  <c r="G649" i="20"/>
  <c r="G685" i="20"/>
  <c r="G694" i="20"/>
  <c r="G678" i="20"/>
  <c r="G682" i="20"/>
  <c r="G647" i="20"/>
  <c r="G675" i="20"/>
  <c r="G646" i="20"/>
  <c r="N624" i="20" s="1"/>
  <c r="G653" i="20"/>
  <c r="G660" i="20"/>
  <c r="G665" i="20"/>
  <c r="G130" i="20"/>
  <c r="G123" i="20"/>
  <c r="G104" i="20"/>
  <c r="G118" i="20"/>
  <c r="G126" i="20"/>
  <c r="G116" i="20"/>
  <c r="G129" i="20"/>
  <c r="G150" i="20"/>
  <c r="G149" i="20"/>
  <c r="G132" i="20"/>
  <c r="G115" i="20"/>
  <c r="G120" i="20"/>
  <c r="G121" i="20"/>
  <c r="G148" i="20"/>
  <c r="G152" i="20"/>
  <c r="G112" i="20"/>
  <c r="G138" i="20"/>
  <c r="G131" i="20"/>
  <c r="G137" i="20"/>
  <c r="G158" i="20"/>
  <c r="G113" i="20"/>
  <c r="G161" i="20"/>
  <c r="G147" i="20"/>
  <c r="G127" i="20"/>
  <c r="G134" i="20"/>
  <c r="G122" i="20"/>
  <c r="G139" i="20"/>
  <c r="G105" i="20"/>
  <c r="G117" i="20"/>
  <c r="G103" i="20"/>
  <c r="G128" i="20"/>
  <c r="G141" i="20"/>
  <c r="G124" i="20"/>
  <c r="G140" i="20"/>
  <c r="G110" i="20"/>
  <c r="G159" i="20"/>
  <c r="G160" i="20"/>
  <c r="G144" i="20"/>
  <c r="G125" i="20"/>
  <c r="G146" i="20"/>
  <c r="G153" i="20"/>
  <c r="G154" i="20"/>
  <c r="G106" i="20"/>
  <c r="G107" i="20"/>
  <c r="G109" i="20"/>
  <c r="G108" i="20"/>
  <c r="G119" i="20"/>
  <c r="N90" i="20" s="1"/>
  <c r="G114" i="20"/>
  <c r="G143" i="20"/>
  <c r="G133" i="20"/>
  <c r="G145" i="20"/>
  <c r="G156" i="20"/>
  <c r="G162" i="20"/>
  <c r="G111" i="20"/>
  <c r="G157" i="20"/>
  <c r="G142" i="20"/>
  <c r="G151" i="20"/>
  <c r="G136" i="20"/>
  <c r="G155" i="20"/>
  <c r="I99" i="20"/>
  <c r="G135" i="20"/>
  <c r="G308" i="20"/>
  <c r="G302" i="20"/>
  <c r="G282" i="20"/>
  <c r="G296" i="20"/>
  <c r="G329" i="20"/>
  <c r="G297" i="20"/>
  <c r="G312" i="20"/>
  <c r="G327" i="20"/>
  <c r="G332" i="20"/>
  <c r="G284" i="20"/>
  <c r="G300" i="20"/>
  <c r="G307" i="20"/>
  <c r="G314" i="20"/>
  <c r="G290" i="20"/>
  <c r="G304" i="20"/>
  <c r="G340" i="20"/>
  <c r="G285" i="20"/>
  <c r="G336" i="20"/>
  <c r="G318" i="20"/>
  <c r="G330" i="20"/>
  <c r="G316" i="20"/>
  <c r="G298" i="20"/>
  <c r="G294" i="20"/>
  <c r="G287" i="20"/>
  <c r="G305" i="20"/>
  <c r="G286" i="20"/>
  <c r="G293" i="20"/>
  <c r="N268" i="20" s="1"/>
  <c r="G311" i="20"/>
  <c r="G319" i="20"/>
  <c r="G303" i="20"/>
  <c r="G299" i="20"/>
  <c r="G292" i="20"/>
  <c r="G338" i="20"/>
  <c r="I277" i="20"/>
  <c r="G328" i="20"/>
  <c r="G310" i="20"/>
  <c r="G322" i="20"/>
  <c r="G331" i="20"/>
  <c r="G306" i="20"/>
  <c r="G325" i="20"/>
  <c r="G323" i="20"/>
  <c r="G337" i="20"/>
  <c r="G313" i="20"/>
  <c r="G321" i="20"/>
  <c r="G309" i="20"/>
  <c r="G333" i="20"/>
  <c r="G291" i="20"/>
  <c r="G335" i="20"/>
  <c r="G320" i="20"/>
  <c r="G281" i="20"/>
  <c r="G339" i="20"/>
  <c r="G283" i="20"/>
  <c r="G317" i="20"/>
  <c r="G288" i="20"/>
  <c r="G334" i="20"/>
  <c r="G315" i="20"/>
  <c r="G289" i="20"/>
  <c r="G326" i="20"/>
  <c r="G301" i="20"/>
  <c r="G295" i="20"/>
  <c r="G324" i="20"/>
  <c r="G487" i="20"/>
  <c r="G485" i="20"/>
  <c r="G479" i="20"/>
  <c r="G490" i="20"/>
  <c r="G469" i="20"/>
  <c r="G497" i="20"/>
  <c r="G499" i="20"/>
  <c r="G478" i="20"/>
  <c r="G491" i="20"/>
  <c r="G465" i="20"/>
  <c r="G480" i="20"/>
  <c r="G508" i="20"/>
  <c r="G481" i="20"/>
  <c r="I455" i="20"/>
  <c r="G517" i="20"/>
  <c r="G501" i="20"/>
  <c r="G474" i="20"/>
  <c r="G466" i="20"/>
  <c r="G468" i="20"/>
  <c r="G509" i="20"/>
  <c r="G515" i="20"/>
  <c r="G502" i="20"/>
  <c r="G518" i="20"/>
  <c r="G514" i="20"/>
  <c r="G498" i="20"/>
  <c r="G477" i="20"/>
  <c r="G513" i="20"/>
  <c r="G476" i="20"/>
  <c r="G467" i="20"/>
  <c r="G511" i="20"/>
  <c r="G507" i="20"/>
  <c r="G462" i="20"/>
  <c r="G510" i="20"/>
  <c r="G494" i="20"/>
  <c r="G505" i="20"/>
  <c r="G489" i="20"/>
  <c r="G512" i="20"/>
  <c r="G486" i="20"/>
  <c r="G506" i="20"/>
  <c r="G483" i="20"/>
  <c r="G464" i="20"/>
  <c r="G482" i="20"/>
  <c r="G493" i="20"/>
  <c r="G503" i="20"/>
  <c r="G504" i="20"/>
  <c r="G470" i="20"/>
  <c r="G460" i="20"/>
  <c r="G471" i="20"/>
  <c r="N446" i="20" s="1"/>
  <c r="G500" i="20"/>
  <c r="G496" i="20"/>
  <c r="G516" i="20"/>
  <c r="G484" i="20"/>
  <c r="G472" i="20"/>
  <c r="G459" i="20"/>
  <c r="G488" i="20"/>
  <c r="G475" i="20"/>
  <c r="G492" i="20"/>
  <c r="G463" i="20"/>
  <c r="G473" i="20"/>
  <c r="G495" i="20"/>
  <c r="G461" i="20"/>
  <c r="G785" i="20"/>
  <c r="G772" i="20"/>
  <c r="G781" i="20"/>
  <c r="G768" i="20"/>
  <c r="G740" i="20"/>
  <c r="G751" i="20"/>
  <c r="G765" i="20"/>
  <c r="G759" i="20"/>
  <c r="G777" i="20"/>
  <c r="G763" i="20"/>
  <c r="G726" i="20"/>
  <c r="G756" i="20"/>
  <c r="G728" i="20"/>
  <c r="G784" i="20"/>
  <c r="G744" i="20"/>
  <c r="G748" i="20"/>
  <c r="G746" i="20"/>
  <c r="I722" i="20"/>
  <c r="G783" i="20"/>
  <c r="G733" i="20"/>
  <c r="G749" i="20"/>
  <c r="G741" i="20"/>
  <c r="G743" i="20"/>
  <c r="G729" i="20"/>
  <c r="G766" i="20"/>
  <c r="G774" i="20"/>
  <c r="G731" i="20"/>
  <c r="G762" i="20"/>
  <c r="G736" i="20"/>
  <c r="G742" i="20"/>
  <c r="G747" i="20"/>
  <c r="G735" i="20"/>
  <c r="G769" i="20"/>
  <c r="G780" i="20"/>
  <c r="G773" i="20"/>
  <c r="G738" i="20"/>
  <c r="G770" i="20"/>
  <c r="G767" i="20"/>
  <c r="G753" i="20"/>
  <c r="G778" i="20"/>
  <c r="G758" i="20"/>
  <c r="G764" i="20"/>
  <c r="G734" i="20"/>
  <c r="G727" i="20"/>
  <c r="G757" i="20"/>
  <c r="G745" i="20"/>
  <c r="G754" i="20"/>
  <c r="G752" i="20"/>
  <c r="G755" i="20"/>
  <c r="G730" i="20"/>
  <c r="G761" i="20"/>
  <c r="G739" i="20"/>
  <c r="G775" i="20"/>
  <c r="G779" i="20"/>
  <c r="G782" i="20"/>
  <c r="G771" i="20"/>
  <c r="G732" i="20"/>
  <c r="N713" i="20" s="1"/>
  <c r="G776" i="20"/>
  <c r="G760" i="20"/>
  <c r="G750" i="20"/>
  <c r="G737" i="20"/>
  <c r="G549" i="20"/>
  <c r="G559" i="20"/>
  <c r="N535" i="20" s="1"/>
  <c r="G571" i="20"/>
  <c r="G581" i="20"/>
  <c r="G584" i="20"/>
  <c r="G578" i="20"/>
  <c r="G602" i="20"/>
  <c r="G606" i="20"/>
  <c r="G593" i="20"/>
  <c r="G587" i="20"/>
  <c r="G595" i="20"/>
  <c r="G574" i="20"/>
  <c r="G552" i="20"/>
  <c r="G560" i="20"/>
  <c r="G594" i="20"/>
  <c r="G589" i="20"/>
  <c r="G551" i="20"/>
  <c r="G579" i="20"/>
  <c r="G569" i="20"/>
  <c r="G601" i="20"/>
  <c r="G564" i="20"/>
  <c r="G563" i="20"/>
  <c r="G591" i="20"/>
  <c r="G566" i="20"/>
  <c r="G588" i="20"/>
  <c r="G586" i="20"/>
  <c r="G548" i="20"/>
  <c r="G557" i="20"/>
  <c r="G577" i="20"/>
  <c r="G597" i="20"/>
  <c r="G570" i="20"/>
  <c r="G572" i="20"/>
  <c r="I544" i="20"/>
  <c r="G580" i="20"/>
  <c r="G590" i="20"/>
  <c r="G576" i="20"/>
  <c r="G605" i="20"/>
  <c r="G585" i="20"/>
  <c r="G556" i="20"/>
  <c r="G600" i="20"/>
  <c r="G554" i="20"/>
  <c r="G603" i="20"/>
  <c r="G568" i="20"/>
  <c r="G599" i="20"/>
  <c r="G607" i="20"/>
  <c r="G567" i="20"/>
  <c r="G553" i="20"/>
  <c r="G583" i="20"/>
  <c r="G565" i="20"/>
  <c r="G550" i="20"/>
  <c r="G598" i="20"/>
  <c r="G604" i="20"/>
  <c r="G596" i="20"/>
  <c r="G592" i="20"/>
  <c r="G555" i="20"/>
  <c r="G561" i="20"/>
  <c r="G575" i="20"/>
  <c r="G573" i="20"/>
  <c r="G558" i="20"/>
  <c r="G562" i="20"/>
  <c r="G582" i="20"/>
  <c r="H162" i="13"/>
  <c r="I1303" i="20" l="1"/>
  <c r="I1315" i="20"/>
  <c r="I1196" i="20"/>
  <c r="I1197" i="20"/>
  <c r="I825" i="20"/>
  <c r="I1470" i="20"/>
  <c r="I1486" i="20"/>
  <c r="I924" i="20"/>
  <c r="I1122" i="20"/>
  <c r="I1444" i="20"/>
  <c r="I1284" i="20"/>
  <c r="I1030" i="20"/>
  <c r="I1184" i="20"/>
  <c r="I1217" i="20"/>
  <c r="I909" i="20"/>
  <c r="I1363" i="20"/>
  <c r="I858" i="20"/>
  <c r="I1115" i="20"/>
  <c r="I855" i="20"/>
  <c r="I1294" i="20"/>
  <c r="I1230" i="20"/>
  <c r="I1112" i="20"/>
  <c r="I1012" i="20"/>
  <c r="I1458" i="20"/>
  <c r="I1101" i="20"/>
  <c r="I1407" i="20"/>
  <c r="I1281" i="20"/>
  <c r="I1178" i="20"/>
  <c r="I1316" i="20"/>
  <c r="I1365" i="20"/>
  <c r="I1206" i="20"/>
  <c r="I1495" i="20"/>
  <c r="I1029" i="20"/>
  <c r="I960" i="20"/>
  <c r="I1288" i="20"/>
  <c r="I998" i="20"/>
  <c r="I921" i="20"/>
  <c r="I846" i="20"/>
  <c r="I1048" i="20"/>
  <c r="I1099" i="20"/>
  <c r="I1139" i="20"/>
  <c r="I1304" i="20"/>
  <c r="I918" i="20"/>
  <c r="I1400" i="20"/>
  <c r="I958" i="20"/>
  <c r="I1483" i="20"/>
  <c r="I1317" i="20"/>
  <c r="I1015" i="20"/>
  <c r="I1376" i="20"/>
  <c r="I930" i="20"/>
  <c r="I1306" i="20"/>
  <c r="I995" i="20"/>
  <c r="I941" i="20"/>
  <c r="I949" i="20"/>
  <c r="I1366" i="20"/>
  <c r="I1296" i="20"/>
  <c r="I1204" i="20"/>
  <c r="I1319" i="20"/>
  <c r="I1024" i="20"/>
  <c r="I1035" i="20"/>
  <c r="I956" i="20"/>
  <c r="I1045" i="20"/>
  <c r="I849" i="20"/>
  <c r="I1360" i="20"/>
  <c r="I869" i="20"/>
  <c r="I1025" i="20"/>
  <c r="I871" i="20"/>
  <c r="I1223" i="20"/>
  <c r="I1269" i="20"/>
  <c r="I1374" i="20"/>
  <c r="I1050" i="20"/>
  <c r="I1186" i="20"/>
  <c r="I853" i="20"/>
  <c r="I1385" i="20"/>
  <c r="I1033" i="20"/>
  <c r="I1464" i="20"/>
  <c r="I1000" i="20"/>
  <c r="I1409" i="20"/>
  <c r="I936" i="20"/>
  <c r="I943" i="20"/>
  <c r="I1013" i="20"/>
  <c r="I1285" i="20"/>
  <c r="I1181" i="20"/>
  <c r="I1491" i="20"/>
  <c r="I1114" i="20"/>
  <c r="I961" i="20"/>
  <c r="I1193" i="20"/>
  <c r="I1218" i="20"/>
  <c r="I1302" i="20"/>
  <c r="I1352" i="20"/>
  <c r="I1361" i="20"/>
  <c r="I939" i="20"/>
  <c r="I1396" i="20"/>
  <c r="I1266" i="20"/>
  <c r="I1087" i="20"/>
  <c r="I1311" i="20"/>
  <c r="I1449" i="20"/>
  <c r="I1037" i="20"/>
  <c r="I953" i="20"/>
  <c r="I1135" i="20"/>
  <c r="I1391" i="20"/>
  <c r="I1005" i="20"/>
  <c r="I1018" i="20"/>
  <c r="I1382" i="20"/>
  <c r="I1372" i="20"/>
  <c r="I1009" i="20"/>
  <c r="I1292" i="20"/>
  <c r="I1120" i="20"/>
  <c r="I1134" i="20"/>
  <c r="I1395" i="20"/>
  <c r="I1038" i="20"/>
  <c r="I944" i="20"/>
  <c r="I1008" i="20"/>
  <c r="I1383" i="20"/>
  <c r="I1451" i="20"/>
  <c r="I1226" i="20"/>
  <c r="I1137" i="20"/>
  <c r="I1138" i="20"/>
  <c r="I996" i="20"/>
  <c r="I954" i="20"/>
  <c r="I1133" i="20"/>
  <c r="I1198" i="20"/>
  <c r="I1493" i="20"/>
  <c r="I1046" i="20"/>
  <c r="I1088" i="20"/>
  <c r="I1359" i="20"/>
  <c r="I1298" i="20"/>
  <c r="I1180" i="20"/>
  <c r="I1445" i="20"/>
  <c r="I942" i="20"/>
  <c r="I1389" i="20"/>
  <c r="I1100" i="20"/>
  <c r="I1380" i="20"/>
  <c r="I1278" i="20"/>
  <c r="I1207" i="20"/>
  <c r="I845" i="20"/>
  <c r="I1487" i="20"/>
  <c r="I950" i="20"/>
  <c r="I1375" i="20"/>
  <c r="I1177" i="20"/>
  <c r="I1031" i="20"/>
  <c r="I1128" i="20"/>
  <c r="I1290" i="20"/>
  <c r="I1480" i="20"/>
  <c r="I1456" i="20"/>
  <c r="I1397" i="20"/>
  <c r="G252" i="20"/>
  <c r="I1313" i="20"/>
  <c r="I834" i="20"/>
  <c r="I1370" i="20"/>
  <c r="I1194" i="20"/>
  <c r="G1410" i="20"/>
  <c r="I1028" i="20"/>
  <c r="I1475" i="20"/>
  <c r="I1299" i="20"/>
  <c r="I1488" i="20"/>
  <c r="I1287" i="20"/>
  <c r="I1448" i="20"/>
  <c r="I1277" i="20"/>
  <c r="I1379" i="20"/>
  <c r="I1388" i="20"/>
  <c r="I1036" i="20"/>
  <c r="I1305" i="20"/>
  <c r="I1453" i="20"/>
  <c r="I1474" i="20"/>
  <c r="I1182" i="20"/>
  <c r="I1022" i="20"/>
  <c r="I1471" i="20"/>
  <c r="I1123" i="20"/>
  <c r="I1110" i="20"/>
  <c r="I922" i="20"/>
  <c r="I1274" i="20"/>
  <c r="I1318" i="20"/>
  <c r="I1267" i="20"/>
  <c r="I1452" i="20"/>
  <c r="I948" i="20"/>
  <c r="I832" i="20"/>
  <c r="I1043" i="20"/>
  <c r="I859" i="20"/>
  <c r="I1357" i="20"/>
  <c r="I1228" i="20"/>
  <c r="I1116" i="20"/>
  <c r="I1314" i="20"/>
  <c r="I1279" i="20"/>
  <c r="I862" i="20"/>
  <c r="I1185" i="20"/>
  <c r="I864" i="20"/>
  <c r="I925" i="20"/>
  <c r="I1394" i="20"/>
  <c r="I1113" i="20"/>
  <c r="I1225" i="20"/>
  <c r="I1490" i="20"/>
  <c r="I819" i="20"/>
  <c r="I1019" i="20"/>
  <c r="I835" i="20"/>
  <c r="I1443" i="20"/>
  <c r="I962" i="20"/>
  <c r="I906" i="20"/>
  <c r="I935" i="20"/>
  <c r="I1092" i="20"/>
  <c r="I1108" i="20"/>
  <c r="I826" i="20"/>
  <c r="I868" i="20"/>
  <c r="I1356" i="20"/>
  <c r="I911" i="20"/>
  <c r="I912" i="20"/>
  <c r="I1362" i="20"/>
  <c r="I905" i="20"/>
  <c r="I1183" i="20"/>
  <c r="I1040" i="20"/>
  <c r="I1450" i="20"/>
  <c r="N803" i="20"/>
  <c r="N804" i="20" s="1"/>
  <c r="I827" i="20"/>
  <c r="I1479" i="20"/>
  <c r="I917" i="20"/>
  <c r="N1160" i="20"/>
  <c r="N1161" i="20" s="1"/>
  <c r="I1173" i="20"/>
  <c r="I831" i="20"/>
  <c r="N892" i="20"/>
  <c r="N893" i="20" s="1"/>
  <c r="I907" i="20"/>
  <c r="I1039" i="20"/>
  <c r="I843" i="20"/>
  <c r="I1011" i="20"/>
  <c r="I1213" i="20"/>
  <c r="I959" i="20"/>
  <c r="G1142" i="20"/>
  <c r="I1047" i="20"/>
  <c r="I162" i="13"/>
  <c r="J102" i="13"/>
  <c r="J162" i="13" s="1"/>
  <c r="G786" i="20"/>
  <c r="I934" i="20"/>
  <c r="I851" i="20"/>
  <c r="I1307" i="20"/>
  <c r="I1386" i="20"/>
  <c r="I841" i="20"/>
  <c r="I1051" i="20"/>
  <c r="I1124" i="20"/>
  <c r="I1320" i="20"/>
  <c r="I947" i="20"/>
  <c r="I1187" i="20"/>
  <c r="I1129" i="20"/>
  <c r="I1176" i="20"/>
  <c r="I1195" i="20"/>
  <c r="I997" i="20"/>
  <c r="I1219" i="20"/>
  <c r="I1485" i="20"/>
  <c r="I1467" i="20"/>
  <c r="I1203" i="20"/>
  <c r="I1264" i="20"/>
  <c r="I1492" i="20"/>
  <c r="I926" i="20"/>
  <c r="I1016" i="20"/>
  <c r="I963" i="20"/>
  <c r="I1263" i="20"/>
  <c r="I817" i="20"/>
  <c r="I1293" i="20"/>
  <c r="I929" i="20"/>
  <c r="I1498" i="20"/>
  <c r="I1023" i="20"/>
  <c r="I1446" i="20"/>
  <c r="I848" i="20"/>
  <c r="I1447" i="20"/>
  <c r="I1308" i="20"/>
  <c r="I1118" i="20"/>
  <c r="I1130" i="20"/>
  <c r="I1478" i="20"/>
  <c r="I1086" i="20"/>
  <c r="I1212" i="20"/>
  <c r="I1131" i="20"/>
  <c r="I1387" i="20"/>
  <c r="I1208" i="20"/>
  <c r="I1209" i="20"/>
  <c r="I938" i="20"/>
  <c r="I940" i="20"/>
  <c r="I1489" i="20"/>
  <c r="I824" i="20"/>
  <c r="I1275" i="20"/>
  <c r="I1041" i="20"/>
  <c r="I937" i="20"/>
  <c r="I1358" i="20"/>
  <c r="I1020" i="20"/>
  <c r="G519" i="20"/>
  <c r="H516" i="20"/>
  <c r="I516" i="20" s="1"/>
  <c r="H469" i="20"/>
  <c r="I469" i="20" s="1"/>
  <c r="H480" i="20"/>
  <c r="I480" i="20" s="1"/>
  <c r="H481" i="20"/>
  <c r="I481" i="20" s="1"/>
  <c r="H508" i="20"/>
  <c r="I508" i="20" s="1"/>
  <c r="H501" i="20"/>
  <c r="I501" i="20" s="1"/>
  <c r="H475" i="20"/>
  <c r="I475" i="20" s="1"/>
  <c r="H496" i="20"/>
  <c r="I496" i="20" s="1"/>
  <c r="H512" i="20"/>
  <c r="I512" i="20" s="1"/>
  <c r="H489" i="20"/>
  <c r="I489" i="20" s="1"/>
  <c r="H487" i="20"/>
  <c r="I487" i="20" s="1"/>
  <c r="H461" i="20"/>
  <c r="I461" i="20" s="1"/>
  <c r="H484" i="20"/>
  <c r="I484" i="20" s="1"/>
  <c r="H464" i="20"/>
  <c r="I464" i="20" s="1"/>
  <c r="H471" i="20"/>
  <c r="H499" i="20"/>
  <c r="I499" i="20" s="1"/>
  <c r="H474" i="20"/>
  <c r="I474" i="20" s="1"/>
  <c r="H514" i="20"/>
  <c r="I514" i="20" s="1"/>
  <c r="H476" i="20"/>
  <c r="I476" i="20" s="1"/>
  <c r="H462" i="20"/>
  <c r="I462" i="20" s="1"/>
  <c r="H503" i="20"/>
  <c r="I503" i="20" s="1"/>
  <c r="H491" i="20"/>
  <c r="I491" i="20" s="1"/>
  <c r="H494" i="20"/>
  <c r="I494" i="20" s="1"/>
  <c r="H500" i="20"/>
  <c r="I500" i="20" s="1"/>
  <c r="H495" i="20"/>
  <c r="I495" i="20" s="1"/>
  <c r="H510" i="20"/>
  <c r="I510" i="20" s="1"/>
  <c r="H505" i="20"/>
  <c r="I505" i="20" s="1"/>
  <c r="H493" i="20"/>
  <c r="I493" i="20" s="1"/>
  <c r="H463" i="20"/>
  <c r="I463" i="20" s="1"/>
  <c r="H465" i="20"/>
  <c r="I465" i="20" s="1"/>
  <c r="H466" i="20"/>
  <c r="I466" i="20" s="1"/>
  <c r="H470" i="20"/>
  <c r="I470" i="20" s="1"/>
  <c r="H460" i="20"/>
  <c r="I460" i="20" s="1"/>
  <c r="H478" i="20"/>
  <c r="I478" i="20" s="1"/>
  <c r="H468" i="20"/>
  <c r="I468" i="20" s="1"/>
  <c r="H490" i="20"/>
  <c r="I490" i="20" s="1"/>
  <c r="H472" i="20"/>
  <c r="I472" i="20" s="1"/>
  <c r="H497" i="20"/>
  <c r="I497" i="20" s="1"/>
  <c r="H518" i="20"/>
  <c r="I518" i="20" s="1"/>
  <c r="H509" i="20"/>
  <c r="I509" i="20" s="1"/>
  <c r="H506" i="20"/>
  <c r="I506" i="20" s="1"/>
  <c r="H498" i="20"/>
  <c r="I498" i="20" s="1"/>
  <c r="H477" i="20"/>
  <c r="I477" i="20" s="1"/>
  <c r="H513" i="20"/>
  <c r="I513" i="20" s="1"/>
  <c r="H486" i="20"/>
  <c r="I486" i="20" s="1"/>
  <c r="H485" i="20"/>
  <c r="I485" i="20" s="1"/>
  <c r="H504" i="20"/>
  <c r="I504" i="20" s="1"/>
  <c r="H492" i="20"/>
  <c r="I492" i="20" s="1"/>
  <c r="H483" i="20"/>
  <c r="I483" i="20" s="1"/>
  <c r="H517" i="20"/>
  <c r="I517" i="20" s="1"/>
  <c r="H511" i="20"/>
  <c r="I511" i="20" s="1"/>
  <c r="H482" i="20"/>
  <c r="I482" i="20" s="1"/>
  <c r="H502" i="20"/>
  <c r="I502" i="20" s="1"/>
  <c r="H479" i="20"/>
  <c r="I479" i="20" s="1"/>
  <c r="H459" i="20"/>
  <c r="H467" i="20"/>
  <c r="I467" i="20" s="1"/>
  <c r="H473" i="20"/>
  <c r="I473" i="20" s="1"/>
  <c r="H515" i="20"/>
  <c r="I515" i="20" s="1"/>
  <c r="H488" i="20"/>
  <c r="I488" i="20" s="1"/>
  <c r="H507" i="20"/>
  <c r="I507" i="20" s="1"/>
  <c r="H692" i="20"/>
  <c r="I692" i="20" s="1"/>
  <c r="H649" i="20"/>
  <c r="I649" i="20" s="1"/>
  <c r="H669" i="20"/>
  <c r="I669" i="20" s="1"/>
  <c r="H642" i="20"/>
  <c r="I642" i="20" s="1"/>
  <c r="H689" i="20"/>
  <c r="I689" i="20" s="1"/>
  <c r="H645" i="20"/>
  <c r="I645" i="20" s="1"/>
  <c r="H652" i="20"/>
  <c r="I652" i="20" s="1"/>
  <c r="H688" i="20"/>
  <c r="I688" i="20" s="1"/>
  <c r="H682" i="20"/>
  <c r="I682" i="20" s="1"/>
  <c r="H659" i="20"/>
  <c r="I659" i="20" s="1"/>
  <c r="H660" i="20"/>
  <c r="I660" i="20" s="1"/>
  <c r="H655" i="20"/>
  <c r="I655" i="20" s="1"/>
  <c r="H656" i="20"/>
  <c r="I656" i="20" s="1"/>
  <c r="H684" i="20"/>
  <c r="I684" i="20" s="1"/>
  <c r="H641" i="20"/>
  <c r="I641" i="20" s="1"/>
  <c r="H668" i="20"/>
  <c r="I668" i="20" s="1"/>
  <c r="H671" i="20"/>
  <c r="I671" i="20" s="1"/>
  <c r="H678" i="20"/>
  <c r="I678" i="20" s="1"/>
  <c r="H672" i="20"/>
  <c r="I672" i="20" s="1"/>
  <c r="H677" i="20"/>
  <c r="I677" i="20" s="1"/>
  <c r="H638" i="20"/>
  <c r="I638" i="20" s="1"/>
  <c r="H657" i="20"/>
  <c r="I657" i="20" s="1"/>
  <c r="H667" i="20"/>
  <c r="I667" i="20" s="1"/>
  <c r="H665" i="20"/>
  <c r="I665" i="20" s="1"/>
  <c r="H648" i="20"/>
  <c r="I648" i="20" s="1"/>
  <c r="H639" i="20"/>
  <c r="I639" i="20" s="1"/>
  <c r="H676" i="20"/>
  <c r="I676" i="20" s="1"/>
  <c r="H686" i="20"/>
  <c r="I686" i="20" s="1"/>
  <c r="H696" i="20"/>
  <c r="I696" i="20" s="1"/>
  <c r="H691" i="20"/>
  <c r="I691" i="20" s="1"/>
  <c r="H658" i="20"/>
  <c r="I658" i="20" s="1"/>
  <c r="H685" i="20"/>
  <c r="I685" i="20" s="1"/>
  <c r="H654" i="20"/>
  <c r="I654" i="20" s="1"/>
  <c r="H661" i="20"/>
  <c r="I661" i="20" s="1"/>
  <c r="H695" i="20"/>
  <c r="I695" i="20" s="1"/>
  <c r="H687" i="20"/>
  <c r="I687" i="20" s="1"/>
  <c r="H647" i="20"/>
  <c r="I647" i="20" s="1"/>
  <c r="H662" i="20"/>
  <c r="I662" i="20" s="1"/>
  <c r="H690" i="20"/>
  <c r="I690" i="20" s="1"/>
  <c r="H675" i="20"/>
  <c r="I675" i="20" s="1"/>
  <c r="H640" i="20"/>
  <c r="I640" i="20" s="1"/>
  <c r="H637" i="20"/>
  <c r="H673" i="20"/>
  <c r="I673" i="20" s="1"/>
  <c r="H680" i="20"/>
  <c r="I680" i="20" s="1"/>
  <c r="H693" i="20"/>
  <c r="I693" i="20" s="1"/>
  <c r="H670" i="20"/>
  <c r="I670" i="20" s="1"/>
  <c r="H674" i="20"/>
  <c r="I674" i="20" s="1"/>
  <c r="H666" i="20"/>
  <c r="I666" i="20" s="1"/>
  <c r="H650" i="20"/>
  <c r="I650" i="20" s="1"/>
  <c r="H651" i="20"/>
  <c r="I651" i="20" s="1"/>
  <c r="H646" i="20"/>
  <c r="H644" i="20"/>
  <c r="I644" i="20" s="1"/>
  <c r="H643" i="20"/>
  <c r="I643" i="20" s="1"/>
  <c r="H679" i="20"/>
  <c r="I679" i="20" s="1"/>
  <c r="H663" i="20"/>
  <c r="I663" i="20" s="1"/>
  <c r="H694" i="20"/>
  <c r="I694" i="20" s="1"/>
  <c r="H664" i="20"/>
  <c r="I664" i="20" s="1"/>
  <c r="H681" i="20"/>
  <c r="I681" i="20" s="1"/>
  <c r="H653" i="20"/>
  <c r="I653" i="20" s="1"/>
  <c r="H683" i="20"/>
  <c r="I683" i="20" s="1"/>
  <c r="I1210" i="20"/>
  <c r="I840" i="20"/>
  <c r="I1216" i="20"/>
  <c r="I1280" i="20"/>
  <c r="I1276" i="20"/>
  <c r="I1220" i="20"/>
  <c r="I1468" i="20"/>
  <c r="I1354" i="20"/>
  <c r="I1222" i="20"/>
  <c r="I847" i="20"/>
  <c r="I842" i="20"/>
  <c r="N1338" i="20"/>
  <c r="N1339" i="20" s="1"/>
  <c r="I1351" i="20"/>
  <c r="I1481" i="20"/>
  <c r="I1106" i="20"/>
  <c r="I1462" i="20"/>
  <c r="I1132" i="20"/>
  <c r="I839" i="20"/>
  <c r="I1408" i="20"/>
  <c r="I1367" i="20"/>
  <c r="I1091" i="20"/>
  <c r="I1469" i="20"/>
  <c r="I1214" i="20"/>
  <c r="I1401" i="20"/>
  <c r="I1442" i="20"/>
  <c r="I1090" i="20"/>
  <c r="I1289" i="20"/>
  <c r="I933" i="20"/>
  <c r="I994" i="20"/>
  <c r="N981" i="20"/>
  <c r="N982" i="20" s="1"/>
  <c r="I1093" i="20"/>
  <c r="I1265" i="20"/>
  <c r="I1455" i="20"/>
  <c r="I1085" i="20"/>
  <c r="I1461" i="20"/>
  <c r="I1286" i="20"/>
  <c r="I1010" i="20"/>
  <c r="I1457" i="20"/>
  <c r="I1017" i="20"/>
  <c r="I1049" i="20"/>
  <c r="I829" i="20"/>
  <c r="I1140" i="20"/>
  <c r="I1117" i="20"/>
  <c r="I1229" i="20"/>
  <c r="I910" i="20"/>
  <c r="I1200" i="20"/>
  <c r="I1109" i="20"/>
  <c r="I1227" i="20"/>
  <c r="I1282" i="20"/>
  <c r="I856" i="20"/>
  <c r="I1221" i="20"/>
  <c r="G608" i="20"/>
  <c r="G341" i="20"/>
  <c r="H330" i="20"/>
  <c r="I330" i="20" s="1"/>
  <c r="H337" i="20"/>
  <c r="I337" i="20" s="1"/>
  <c r="H323" i="20"/>
  <c r="I323" i="20" s="1"/>
  <c r="H300" i="20"/>
  <c r="I300" i="20" s="1"/>
  <c r="H313" i="20"/>
  <c r="I313" i="20" s="1"/>
  <c r="H332" i="20"/>
  <c r="I332" i="20" s="1"/>
  <c r="H303" i="20"/>
  <c r="I303" i="20" s="1"/>
  <c r="H291" i="20"/>
  <c r="I291" i="20" s="1"/>
  <c r="H301" i="20"/>
  <c r="I301" i="20" s="1"/>
  <c r="H319" i="20"/>
  <c r="I319" i="20" s="1"/>
  <c r="H334" i="20"/>
  <c r="I334" i="20" s="1"/>
  <c r="H340" i="20"/>
  <c r="I340" i="20" s="1"/>
  <c r="H331" i="20"/>
  <c r="I331" i="20" s="1"/>
  <c r="H336" i="20"/>
  <c r="I336" i="20" s="1"/>
  <c r="H285" i="20"/>
  <c r="I285" i="20" s="1"/>
  <c r="H310" i="20"/>
  <c r="I310" i="20" s="1"/>
  <c r="H324" i="20"/>
  <c r="I324" i="20" s="1"/>
  <c r="H288" i="20"/>
  <c r="I288" i="20" s="1"/>
  <c r="H281" i="20"/>
  <c r="H282" i="20"/>
  <c r="I282" i="20" s="1"/>
  <c r="H322" i="20"/>
  <c r="I322" i="20" s="1"/>
  <c r="H306" i="20"/>
  <c r="I306" i="20" s="1"/>
  <c r="H286" i="20"/>
  <c r="I286" i="20" s="1"/>
  <c r="H320" i="20"/>
  <c r="I320" i="20" s="1"/>
  <c r="H294" i="20"/>
  <c r="I294" i="20" s="1"/>
  <c r="H309" i="20"/>
  <c r="I309" i="20" s="1"/>
  <c r="H338" i="20"/>
  <c r="I338" i="20" s="1"/>
  <c r="H314" i="20"/>
  <c r="I314" i="20" s="1"/>
  <c r="H284" i="20"/>
  <c r="I284" i="20" s="1"/>
  <c r="H321" i="20"/>
  <c r="I321" i="20" s="1"/>
  <c r="H293" i="20"/>
  <c r="H316" i="20"/>
  <c r="I316" i="20" s="1"/>
  <c r="H295" i="20"/>
  <c r="I295" i="20" s="1"/>
  <c r="H317" i="20"/>
  <c r="I317" i="20" s="1"/>
  <c r="H287" i="20"/>
  <c r="I287" i="20" s="1"/>
  <c r="H328" i="20"/>
  <c r="I328" i="20" s="1"/>
  <c r="H339" i="20"/>
  <c r="I339" i="20" s="1"/>
  <c r="H326" i="20"/>
  <c r="I326" i="20" s="1"/>
  <c r="H299" i="20"/>
  <c r="I299" i="20" s="1"/>
  <c r="H308" i="20"/>
  <c r="I308" i="20" s="1"/>
  <c r="H305" i="20"/>
  <c r="I305" i="20" s="1"/>
  <c r="H289" i="20"/>
  <c r="I289" i="20" s="1"/>
  <c r="H311" i="20"/>
  <c r="I311" i="20" s="1"/>
  <c r="H283" i="20"/>
  <c r="I283" i="20" s="1"/>
  <c r="H335" i="20"/>
  <c r="I335" i="20" s="1"/>
  <c r="H297" i="20"/>
  <c r="I297" i="20" s="1"/>
  <c r="H312" i="20"/>
  <c r="I312" i="20" s="1"/>
  <c r="H292" i="20"/>
  <c r="I292" i="20" s="1"/>
  <c r="H298" i="20"/>
  <c r="I298" i="20" s="1"/>
  <c r="H327" i="20"/>
  <c r="I327" i="20" s="1"/>
  <c r="H290" i="20"/>
  <c r="I290" i="20" s="1"/>
  <c r="H315" i="20"/>
  <c r="I315" i="20" s="1"/>
  <c r="H307" i="20"/>
  <c r="I307" i="20" s="1"/>
  <c r="H329" i="20"/>
  <c r="I329" i="20" s="1"/>
  <c r="H304" i="20"/>
  <c r="I304" i="20" s="1"/>
  <c r="H318" i="20"/>
  <c r="I318" i="20" s="1"/>
  <c r="H325" i="20"/>
  <c r="I325" i="20" s="1"/>
  <c r="H302" i="20"/>
  <c r="I302" i="20" s="1"/>
  <c r="H296" i="20"/>
  <c r="I296" i="20" s="1"/>
  <c r="H333" i="20"/>
  <c r="I333" i="20" s="1"/>
  <c r="M26" i="20"/>
  <c r="G27" i="2" s="1"/>
  <c r="L27" i="2" s="1"/>
  <c r="H381" i="20"/>
  <c r="I381" i="20" s="1"/>
  <c r="H429" i="20"/>
  <c r="I429" i="20" s="1"/>
  <c r="H400" i="20"/>
  <c r="I400" i="20" s="1"/>
  <c r="H407" i="20"/>
  <c r="I407" i="20" s="1"/>
  <c r="H399" i="20"/>
  <c r="I399" i="20" s="1"/>
  <c r="H403" i="20"/>
  <c r="I403" i="20" s="1"/>
  <c r="H382" i="20"/>
  <c r="I382" i="20" s="1"/>
  <c r="H428" i="20"/>
  <c r="I428" i="20" s="1"/>
  <c r="H390" i="20"/>
  <c r="I390" i="20" s="1"/>
  <c r="H385" i="20"/>
  <c r="I385" i="20" s="1"/>
  <c r="H415" i="20"/>
  <c r="I415" i="20" s="1"/>
  <c r="H421" i="20"/>
  <c r="I421" i="20" s="1"/>
  <c r="H372" i="20"/>
  <c r="I372" i="20" s="1"/>
  <c r="H417" i="20"/>
  <c r="I417" i="20" s="1"/>
  <c r="H371" i="20"/>
  <c r="I371" i="20" s="1"/>
  <c r="H388" i="20"/>
  <c r="I388" i="20" s="1"/>
  <c r="H401" i="20"/>
  <c r="I401" i="20" s="1"/>
  <c r="H410" i="20"/>
  <c r="I410" i="20" s="1"/>
  <c r="H424" i="20"/>
  <c r="I424" i="20" s="1"/>
  <c r="H426" i="20"/>
  <c r="I426" i="20" s="1"/>
  <c r="H423" i="20"/>
  <c r="I423" i="20" s="1"/>
  <c r="H375" i="20"/>
  <c r="I375" i="20" s="1"/>
  <c r="H379" i="20"/>
  <c r="H374" i="20"/>
  <c r="I374" i="20" s="1"/>
  <c r="H373" i="20"/>
  <c r="I373" i="20" s="1"/>
  <c r="H383" i="20"/>
  <c r="I383" i="20" s="1"/>
  <c r="H370" i="20"/>
  <c r="H418" i="20"/>
  <c r="I418" i="20" s="1"/>
  <c r="H377" i="20"/>
  <c r="I377" i="20" s="1"/>
  <c r="H419" i="20"/>
  <c r="I419" i="20" s="1"/>
  <c r="H420" i="20"/>
  <c r="I420" i="20" s="1"/>
  <c r="H380" i="20"/>
  <c r="I380" i="20" s="1"/>
  <c r="H391" i="20"/>
  <c r="I391" i="20" s="1"/>
  <c r="H386" i="20"/>
  <c r="I386" i="20" s="1"/>
  <c r="H384" i="20"/>
  <c r="I384" i="20" s="1"/>
  <c r="H376" i="20"/>
  <c r="I376" i="20" s="1"/>
  <c r="H408" i="20"/>
  <c r="I408" i="20" s="1"/>
  <c r="H413" i="20"/>
  <c r="I413" i="20" s="1"/>
  <c r="H392" i="20"/>
  <c r="I392" i="20" s="1"/>
  <c r="H396" i="20"/>
  <c r="I396" i="20" s="1"/>
  <c r="H422" i="20"/>
  <c r="I422" i="20" s="1"/>
  <c r="H409" i="20"/>
  <c r="I409" i="20" s="1"/>
  <c r="H394" i="20"/>
  <c r="I394" i="20" s="1"/>
  <c r="H395" i="20"/>
  <c r="I395" i="20" s="1"/>
  <c r="H393" i="20"/>
  <c r="I393" i="20" s="1"/>
  <c r="H416" i="20"/>
  <c r="I416" i="20" s="1"/>
  <c r="H387" i="20"/>
  <c r="I387" i="20" s="1"/>
  <c r="H411" i="20"/>
  <c r="I411" i="20" s="1"/>
  <c r="H427" i="20"/>
  <c r="I427" i="20" s="1"/>
  <c r="H414" i="20"/>
  <c r="I414" i="20" s="1"/>
  <c r="H405" i="20"/>
  <c r="I405" i="20" s="1"/>
  <c r="H378" i="20"/>
  <c r="I378" i="20" s="1"/>
  <c r="H412" i="20"/>
  <c r="I412" i="20" s="1"/>
  <c r="H406" i="20"/>
  <c r="I406" i="20" s="1"/>
  <c r="H404" i="20"/>
  <c r="I404" i="20" s="1"/>
  <c r="H389" i="20"/>
  <c r="I389" i="20" s="1"/>
  <c r="H398" i="20"/>
  <c r="I398" i="20" s="1"/>
  <c r="H425" i="20"/>
  <c r="I425" i="20" s="1"/>
  <c r="H402" i="20"/>
  <c r="I402" i="20" s="1"/>
  <c r="H397" i="20"/>
  <c r="I397" i="20" s="1"/>
  <c r="I1007" i="20"/>
  <c r="I916" i="20"/>
  <c r="I844" i="20"/>
  <c r="I1231" i="20"/>
  <c r="I1052" i="20"/>
  <c r="I1199" i="20"/>
  <c r="I931" i="20"/>
  <c r="I1368" i="20"/>
  <c r="I1102" i="20"/>
  <c r="I1224" i="20"/>
  <c r="I818" i="20"/>
  <c r="I1034" i="20"/>
  <c r="I1032" i="20"/>
  <c r="I1205" i="20"/>
  <c r="I1364" i="20"/>
  <c r="I850" i="20"/>
  <c r="I861" i="20"/>
  <c r="I1105" i="20"/>
  <c r="I1404" i="20"/>
  <c r="I822" i="20"/>
  <c r="I932" i="20"/>
  <c r="I857" i="20"/>
  <c r="I852" i="20"/>
  <c r="I1192" i="20"/>
  <c r="I1441" i="20"/>
  <c r="I837" i="20"/>
  <c r="I1476" i="20"/>
  <c r="I828" i="20"/>
  <c r="I923" i="20"/>
  <c r="I1295" i="20"/>
  <c r="I1215" i="20"/>
  <c r="I1211" i="20"/>
  <c r="I928" i="20"/>
  <c r="I1477" i="20"/>
  <c r="I1291" i="20"/>
  <c r="I1268" i="20"/>
  <c r="I1004" i="20"/>
  <c r="I1310" i="20"/>
  <c r="I1369" i="20"/>
  <c r="H134" i="20"/>
  <c r="I134" i="20" s="1"/>
  <c r="H123" i="20"/>
  <c r="I123" i="20" s="1"/>
  <c r="H155" i="20"/>
  <c r="I155" i="20" s="1"/>
  <c r="H109" i="20"/>
  <c r="I109" i="20" s="1"/>
  <c r="H154" i="20"/>
  <c r="I154" i="20" s="1"/>
  <c r="H161" i="20"/>
  <c r="I161" i="20" s="1"/>
  <c r="H104" i="20"/>
  <c r="I104" i="20" s="1"/>
  <c r="H122" i="20"/>
  <c r="I122" i="20" s="1"/>
  <c r="H150" i="20"/>
  <c r="I150" i="20" s="1"/>
  <c r="H142" i="20"/>
  <c r="I142" i="20" s="1"/>
  <c r="H105" i="20"/>
  <c r="I105" i="20" s="1"/>
  <c r="H159" i="20"/>
  <c r="I159" i="20" s="1"/>
  <c r="H135" i="20"/>
  <c r="I135" i="20" s="1"/>
  <c r="H138" i="20"/>
  <c r="I138" i="20" s="1"/>
  <c r="H108" i="20"/>
  <c r="I108" i="20" s="1"/>
  <c r="H113" i="20"/>
  <c r="I113" i="20" s="1"/>
  <c r="H114" i="20"/>
  <c r="I114" i="20" s="1"/>
  <c r="H107" i="20"/>
  <c r="I107" i="20" s="1"/>
  <c r="H103" i="20"/>
  <c r="H130" i="20"/>
  <c r="I130" i="20" s="1"/>
  <c r="H149" i="20"/>
  <c r="I149" i="20" s="1"/>
  <c r="H153" i="20"/>
  <c r="I153" i="20" s="1"/>
  <c r="H117" i="20"/>
  <c r="I117" i="20" s="1"/>
  <c r="H126" i="20"/>
  <c r="I126" i="20" s="1"/>
  <c r="H128" i="20"/>
  <c r="I128" i="20" s="1"/>
  <c r="H147" i="20"/>
  <c r="I147" i="20" s="1"/>
  <c r="H111" i="20"/>
  <c r="I111" i="20" s="1"/>
  <c r="H137" i="20"/>
  <c r="I137" i="20" s="1"/>
  <c r="H145" i="20"/>
  <c r="I145" i="20" s="1"/>
  <c r="H144" i="20"/>
  <c r="I144" i="20" s="1"/>
  <c r="H132" i="20"/>
  <c r="I132" i="20" s="1"/>
  <c r="H120" i="20"/>
  <c r="I120" i="20" s="1"/>
  <c r="H143" i="20"/>
  <c r="I143" i="20" s="1"/>
  <c r="H118" i="20"/>
  <c r="I118" i="20" s="1"/>
  <c r="H129" i="20"/>
  <c r="I129" i="20" s="1"/>
  <c r="H131" i="20"/>
  <c r="I131" i="20" s="1"/>
  <c r="H151" i="20"/>
  <c r="I151" i="20" s="1"/>
  <c r="H141" i="20"/>
  <c r="I141" i="20" s="1"/>
  <c r="H116" i="20"/>
  <c r="I116" i="20" s="1"/>
  <c r="H110" i="20"/>
  <c r="I110" i="20" s="1"/>
  <c r="H112" i="20"/>
  <c r="I112" i="20" s="1"/>
  <c r="H136" i="20"/>
  <c r="I136" i="20" s="1"/>
  <c r="H119" i="20"/>
  <c r="H148" i="20"/>
  <c r="I148" i="20" s="1"/>
  <c r="H152" i="20"/>
  <c r="I152" i="20" s="1"/>
  <c r="H121" i="20"/>
  <c r="I121" i="20" s="1"/>
  <c r="H158" i="20"/>
  <c r="I158" i="20" s="1"/>
  <c r="H127" i="20"/>
  <c r="I127" i="20" s="1"/>
  <c r="H162" i="20"/>
  <c r="I162" i="20" s="1"/>
  <c r="H140" i="20"/>
  <c r="I140" i="20" s="1"/>
  <c r="H124" i="20"/>
  <c r="I124" i="20" s="1"/>
  <c r="H146" i="20"/>
  <c r="I146" i="20" s="1"/>
  <c r="H157" i="20"/>
  <c r="I157" i="20" s="1"/>
  <c r="H139" i="20"/>
  <c r="I139" i="20" s="1"/>
  <c r="H106" i="20"/>
  <c r="I106" i="20" s="1"/>
  <c r="H160" i="20"/>
  <c r="I160" i="20" s="1"/>
  <c r="H133" i="20"/>
  <c r="I133" i="20" s="1"/>
  <c r="H115" i="20"/>
  <c r="I115" i="20" s="1"/>
  <c r="H125" i="20"/>
  <c r="I125" i="20" s="1"/>
  <c r="H156" i="20"/>
  <c r="I156" i="20" s="1"/>
  <c r="H238" i="20"/>
  <c r="I238" i="20" s="1"/>
  <c r="H236" i="20"/>
  <c r="I236" i="20" s="1"/>
  <c r="H225" i="20"/>
  <c r="I225" i="20" s="1"/>
  <c r="H203" i="20"/>
  <c r="I203" i="20" s="1"/>
  <c r="H235" i="20"/>
  <c r="I235" i="20" s="1"/>
  <c r="H202" i="20"/>
  <c r="I202" i="20" s="1"/>
  <c r="H229" i="20"/>
  <c r="I229" i="20" s="1"/>
  <c r="H231" i="20"/>
  <c r="I231" i="20" s="1"/>
  <c r="H234" i="20"/>
  <c r="I234" i="20" s="1"/>
  <c r="H251" i="20"/>
  <c r="I251" i="20" s="1"/>
  <c r="H223" i="20"/>
  <c r="I223" i="20" s="1"/>
  <c r="H247" i="20"/>
  <c r="I247" i="20" s="1"/>
  <c r="H243" i="20"/>
  <c r="I243" i="20" s="1"/>
  <c r="H195" i="20"/>
  <c r="I195" i="20" s="1"/>
  <c r="H233" i="20"/>
  <c r="I233" i="20" s="1"/>
  <c r="H208" i="20"/>
  <c r="I208" i="20" s="1"/>
  <c r="H226" i="20"/>
  <c r="I226" i="20" s="1"/>
  <c r="H209" i="20"/>
  <c r="I209" i="20" s="1"/>
  <c r="H196" i="20"/>
  <c r="I196" i="20" s="1"/>
  <c r="H205" i="20"/>
  <c r="I205" i="20" s="1"/>
  <c r="H244" i="20"/>
  <c r="I244" i="20" s="1"/>
  <c r="H218" i="20"/>
  <c r="I218" i="20" s="1"/>
  <c r="H216" i="20"/>
  <c r="I216" i="20" s="1"/>
  <c r="H221" i="20"/>
  <c r="I221" i="20" s="1"/>
  <c r="H224" i="20"/>
  <c r="I224" i="20" s="1"/>
  <c r="H219" i="20"/>
  <c r="I219" i="20" s="1"/>
  <c r="H230" i="20"/>
  <c r="I230" i="20" s="1"/>
  <c r="H248" i="20"/>
  <c r="I248" i="20" s="1"/>
  <c r="H210" i="20"/>
  <c r="I210" i="20" s="1"/>
  <c r="H192" i="20"/>
  <c r="H215" i="20"/>
  <c r="I215" i="20" s="1"/>
  <c r="H204" i="20"/>
  <c r="H239" i="20"/>
  <c r="I239" i="20" s="1"/>
  <c r="H237" i="20"/>
  <c r="I237" i="20" s="1"/>
  <c r="H246" i="20"/>
  <c r="I246" i="20" s="1"/>
  <c r="H200" i="20"/>
  <c r="I200" i="20" s="1"/>
  <c r="H213" i="20"/>
  <c r="I213" i="20" s="1"/>
  <c r="H245" i="20"/>
  <c r="I245" i="20" s="1"/>
  <c r="H214" i="20"/>
  <c r="I214" i="20" s="1"/>
  <c r="H207" i="20"/>
  <c r="I207" i="20" s="1"/>
  <c r="H193" i="20"/>
  <c r="I193" i="20" s="1"/>
  <c r="H240" i="20"/>
  <c r="I240" i="20" s="1"/>
  <c r="H217" i="20"/>
  <c r="I217" i="20" s="1"/>
  <c r="H232" i="20"/>
  <c r="I232" i="20" s="1"/>
  <c r="H242" i="20"/>
  <c r="I242" i="20" s="1"/>
  <c r="H197" i="20"/>
  <c r="I197" i="20" s="1"/>
  <c r="H250" i="20"/>
  <c r="I250" i="20" s="1"/>
  <c r="H241" i="20"/>
  <c r="I241" i="20" s="1"/>
  <c r="H227" i="20"/>
  <c r="I227" i="20" s="1"/>
  <c r="H228" i="20"/>
  <c r="I228" i="20" s="1"/>
  <c r="H249" i="20"/>
  <c r="I249" i="20" s="1"/>
  <c r="H198" i="20"/>
  <c r="I198" i="20" s="1"/>
  <c r="H220" i="20"/>
  <c r="I220" i="20" s="1"/>
  <c r="H211" i="20"/>
  <c r="I211" i="20" s="1"/>
  <c r="H194" i="20"/>
  <c r="I194" i="20" s="1"/>
  <c r="H206" i="20"/>
  <c r="I206" i="20" s="1"/>
  <c r="H199" i="20"/>
  <c r="I199" i="20" s="1"/>
  <c r="H212" i="20"/>
  <c r="I212" i="20" s="1"/>
  <c r="H222" i="20"/>
  <c r="I222" i="20" s="1"/>
  <c r="H201" i="20"/>
  <c r="I201" i="20" s="1"/>
  <c r="H778" i="20"/>
  <c r="I778" i="20" s="1"/>
  <c r="H758" i="20"/>
  <c r="I758" i="20" s="1"/>
  <c r="H765" i="20"/>
  <c r="I765" i="20" s="1"/>
  <c r="H741" i="20"/>
  <c r="I741" i="20" s="1"/>
  <c r="H753" i="20"/>
  <c r="I753" i="20" s="1"/>
  <c r="H757" i="20"/>
  <c r="I757" i="20" s="1"/>
  <c r="H775" i="20"/>
  <c r="I775" i="20" s="1"/>
  <c r="H754" i="20"/>
  <c r="I754" i="20" s="1"/>
  <c r="H752" i="20"/>
  <c r="I752" i="20" s="1"/>
  <c r="H782" i="20"/>
  <c r="I782" i="20" s="1"/>
  <c r="H747" i="20"/>
  <c r="I747" i="20" s="1"/>
  <c r="H745" i="20"/>
  <c r="I745" i="20" s="1"/>
  <c r="H749" i="20"/>
  <c r="I749" i="20" s="1"/>
  <c r="H764" i="20"/>
  <c r="I764" i="20" s="1"/>
  <c r="H756" i="20"/>
  <c r="I756" i="20" s="1"/>
  <c r="H750" i="20"/>
  <c r="I750" i="20" s="1"/>
  <c r="H729" i="20"/>
  <c r="I729" i="20" s="1"/>
  <c r="H742" i="20"/>
  <c r="I742" i="20" s="1"/>
  <c r="H769" i="20"/>
  <c r="I769" i="20" s="1"/>
  <c r="H785" i="20"/>
  <c r="I785" i="20" s="1"/>
  <c r="H762" i="20"/>
  <c r="I762" i="20" s="1"/>
  <c r="H759" i="20"/>
  <c r="I759" i="20" s="1"/>
  <c r="H776" i="20"/>
  <c r="I776" i="20" s="1"/>
  <c r="H770" i="20"/>
  <c r="I770" i="20" s="1"/>
  <c r="H739" i="20"/>
  <c r="I739" i="20" s="1"/>
  <c r="H737" i="20"/>
  <c r="I737" i="20" s="1"/>
  <c r="H726" i="20"/>
  <c r="H783" i="20"/>
  <c r="I783" i="20" s="1"/>
  <c r="H727" i="20"/>
  <c r="I727" i="20" s="1"/>
  <c r="H768" i="20"/>
  <c r="I768" i="20" s="1"/>
  <c r="H734" i="20"/>
  <c r="I734" i="20" s="1"/>
  <c r="H730" i="20"/>
  <c r="I730" i="20" s="1"/>
  <c r="H772" i="20"/>
  <c r="I772" i="20" s="1"/>
  <c r="H774" i="20"/>
  <c r="I774" i="20" s="1"/>
  <c r="H767" i="20"/>
  <c r="I767" i="20" s="1"/>
  <c r="H780" i="20"/>
  <c r="I780" i="20" s="1"/>
  <c r="H784" i="20"/>
  <c r="I784" i="20" s="1"/>
  <c r="H760" i="20"/>
  <c r="I760" i="20" s="1"/>
  <c r="H773" i="20"/>
  <c r="I773" i="20" s="1"/>
  <c r="H740" i="20"/>
  <c r="I740" i="20" s="1"/>
  <c r="H781" i="20"/>
  <c r="I781" i="20" s="1"/>
  <c r="H746" i="20"/>
  <c r="I746" i="20" s="1"/>
  <c r="H736" i="20"/>
  <c r="I736" i="20" s="1"/>
  <c r="H735" i="20"/>
  <c r="I735" i="20" s="1"/>
  <c r="H766" i="20"/>
  <c r="I766" i="20" s="1"/>
  <c r="H738" i="20"/>
  <c r="I738" i="20" s="1"/>
  <c r="H761" i="20"/>
  <c r="I761" i="20" s="1"/>
  <c r="H763" i="20"/>
  <c r="I763" i="20" s="1"/>
  <c r="H733" i="20"/>
  <c r="I733" i="20" s="1"/>
  <c r="H777" i="20"/>
  <c r="I777" i="20" s="1"/>
  <c r="H728" i="20"/>
  <c r="I728" i="20" s="1"/>
  <c r="H755" i="20"/>
  <c r="I755" i="20" s="1"/>
  <c r="H771" i="20"/>
  <c r="I771" i="20" s="1"/>
  <c r="H779" i="20"/>
  <c r="I779" i="20" s="1"/>
  <c r="H743" i="20"/>
  <c r="I743" i="20" s="1"/>
  <c r="H731" i="20"/>
  <c r="I731" i="20" s="1"/>
  <c r="H748" i="20"/>
  <c r="I748" i="20" s="1"/>
  <c r="H751" i="20"/>
  <c r="I751" i="20" s="1"/>
  <c r="H744" i="20"/>
  <c r="I744" i="20" s="1"/>
  <c r="H732" i="20"/>
  <c r="I1001" i="20"/>
  <c r="I1393" i="20"/>
  <c r="I867" i="20"/>
  <c r="I1121" i="20"/>
  <c r="I1484" i="20"/>
  <c r="G163" i="20"/>
  <c r="I999" i="20"/>
  <c r="I1273" i="20"/>
  <c r="I1126" i="20"/>
  <c r="I1377" i="20"/>
  <c r="I1440" i="20"/>
  <c r="N1427" i="20"/>
  <c r="N1428" i="20" s="1"/>
  <c r="I1283" i="20"/>
  <c r="I873" i="20"/>
  <c r="I1309" i="20"/>
  <c r="I1494" i="20"/>
  <c r="I1191" i="20"/>
  <c r="I821" i="20"/>
  <c r="I823" i="20"/>
  <c r="I1026" i="20"/>
  <c r="I1188" i="20"/>
  <c r="I1189" i="20"/>
  <c r="I1190" i="20"/>
  <c r="I836" i="20"/>
  <c r="G1053" i="20"/>
  <c r="I1353" i="20"/>
  <c r="I952" i="20"/>
  <c r="I1174" i="20"/>
  <c r="I955" i="20"/>
  <c r="I1262" i="20"/>
  <c r="N1249" i="20"/>
  <c r="N1250" i="20" s="1"/>
  <c r="I838" i="20"/>
  <c r="I1002" i="20"/>
  <c r="I1201" i="20"/>
  <c r="I1497" i="20"/>
  <c r="I860" i="20"/>
  <c r="I1297" i="20"/>
  <c r="I1463" i="20"/>
  <c r="I1472" i="20"/>
  <c r="I1111" i="20"/>
  <c r="N1070" i="20"/>
  <c r="N1071" i="20" s="1"/>
  <c r="I1083" i="20"/>
  <c r="I1084" i="20"/>
  <c r="I854" i="20"/>
  <c r="G1321" i="20"/>
  <c r="I863" i="20"/>
  <c r="I1459" i="20"/>
  <c r="I1403" i="20"/>
  <c r="I1454" i="20"/>
  <c r="I1097" i="20"/>
  <c r="I927" i="20"/>
  <c r="G430" i="20"/>
  <c r="I1127" i="20"/>
  <c r="G875" i="20"/>
  <c r="H815" i="20"/>
  <c r="H1261" i="20"/>
  <c r="H1439" i="20"/>
  <c r="H904" i="20"/>
  <c r="H1172" i="20"/>
  <c r="H1350" i="20"/>
  <c r="H1082" i="20"/>
  <c r="H993" i="20"/>
  <c r="I833" i="20"/>
  <c r="I1402" i="20"/>
  <c r="I1465" i="20"/>
  <c r="H582" i="20"/>
  <c r="I582" i="20" s="1"/>
  <c r="H600" i="20"/>
  <c r="I600" i="20" s="1"/>
  <c r="H564" i="20"/>
  <c r="I564" i="20" s="1"/>
  <c r="H563" i="20"/>
  <c r="I563" i="20" s="1"/>
  <c r="H557" i="20"/>
  <c r="I557" i="20" s="1"/>
  <c r="H580" i="20"/>
  <c r="I580" i="20" s="1"/>
  <c r="H581" i="20"/>
  <c r="I581" i="20" s="1"/>
  <c r="H560" i="20"/>
  <c r="I560" i="20" s="1"/>
  <c r="H592" i="20"/>
  <c r="I592" i="20" s="1"/>
  <c r="H565" i="20"/>
  <c r="I565" i="20" s="1"/>
  <c r="H605" i="20"/>
  <c r="I605" i="20" s="1"/>
  <c r="H573" i="20"/>
  <c r="I573" i="20" s="1"/>
  <c r="H551" i="20"/>
  <c r="I551" i="20" s="1"/>
  <c r="H589" i="20"/>
  <c r="I589" i="20" s="1"/>
  <c r="H555" i="20"/>
  <c r="I555" i="20" s="1"/>
  <c r="H561" i="20"/>
  <c r="I561" i="20" s="1"/>
  <c r="H566" i="20"/>
  <c r="I566" i="20" s="1"/>
  <c r="H583" i="20"/>
  <c r="I583" i="20" s="1"/>
  <c r="H579" i="20"/>
  <c r="I579" i="20" s="1"/>
  <c r="H570" i="20"/>
  <c r="I570" i="20" s="1"/>
  <c r="H562" i="20"/>
  <c r="I562" i="20" s="1"/>
  <c r="H569" i="20"/>
  <c r="I569" i="20" s="1"/>
  <c r="H575" i="20"/>
  <c r="I575" i="20" s="1"/>
  <c r="H574" i="20"/>
  <c r="I574" i="20" s="1"/>
  <c r="H567" i="20"/>
  <c r="I567" i="20" s="1"/>
  <c r="H606" i="20"/>
  <c r="I606" i="20" s="1"/>
  <c r="H602" i="20"/>
  <c r="I602" i="20" s="1"/>
  <c r="H598" i="20"/>
  <c r="I598" i="20" s="1"/>
  <c r="H587" i="20"/>
  <c r="I587" i="20" s="1"/>
  <c r="H595" i="20"/>
  <c r="I595" i="20" s="1"/>
  <c r="H577" i="20"/>
  <c r="I577" i="20" s="1"/>
  <c r="H586" i="20"/>
  <c r="I586" i="20" s="1"/>
  <c r="H597" i="20"/>
  <c r="I597" i="20" s="1"/>
  <c r="H568" i="20"/>
  <c r="I568" i="20" s="1"/>
  <c r="H604" i="20"/>
  <c r="I604" i="20" s="1"/>
  <c r="H550" i="20"/>
  <c r="I550" i="20" s="1"/>
  <c r="H594" i="20"/>
  <c r="I594" i="20" s="1"/>
  <c r="H585" i="20"/>
  <c r="I585" i="20" s="1"/>
  <c r="H591" i="20"/>
  <c r="I591" i="20" s="1"/>
  <c r="H572" i="20"/>
  <c r="I572" i="20" s="1"/>
  <c r="H576" i="20"/>
  <c r="I576" i="20" s="1"/>
  <c r="H556" i="20"/>
  <c r="I556" i="20" s="1"/>
  <c r="H578" i="20"/>
  <c r="I578" i="20" s="1"/>
  <c r="H548" i="20"/>
  <c r="H559" i="20"/>
  <c r="H593" i="20"/>
  <c r="I593" i="20" s="1"/>
  <c r="H601" i="20"/>
  <c r="I601" i="20" s="1"/>
  <c r="H603" i="20"/>
  <c r="I603" i="20" s="1"/>
  <c r="H558" i="20"/>
  <c r="I558" i="20" s="1"/>
  <c r="H599" i="20"/>
  <c r="I599" i="20" s="1"/>
  <c r="H590" i="20"/>
  <c r="I590" i="20" s="1"/>
  <c r="H596" i="20"/>
  <c r="I596" i="20" s="1"/>
  <c r="H584" i="20"/>
  <c r="I584" i="20" s="1"/>
  <c r="H571" i="20"/>
  <c r="I571" i="20" s="1"/>
  <c r="H549" i="20"/>
  <c r="I549" i="20" s="1"/>
  <c r="H607" i="20"/>
  <c r="I607" i="20" s="1"/>
  <c r="H552" i="20"/>
  <c r="I552" i="20" s="1"/>
  <c r="H553" i="20"/>
  <c r="I553" i="20" s="1"/>
  <c r="H554" i="20"/>
  <c r="I554" i="20" s="1"/>
  <c r="H588" i="20"/>
  <c r="I588" i="20" s="1"/>
  <c r="G697" i="20"/>
  <c r="I919" i="20"/>
  <c r="I1398" i="20"/>
  <c r="I1125" i="20"/>
  <c r="I1021" i="20"/>
  <c r="I1270" i="20"/>
  <c r="I1301" i="20"/>
  <c r="G1232" i="20"/>
  <c r="I1042" i="20"/>
  <c r="I951" i="20"/>
  <c r="G964" i="20"/>
  <c r="I1014" i="20"/>
  <c r="I870" i="20"/>
  <c r="I872" i="20"/>
  <c r="I1271" i="20"/>
  <c r="I830" i="20"/>
  <c r="I1381" i="20"/>
  <c r="I1098" i="20"/>
  <c r="I1003" i="20"/>
  <c r="I957" i="20"/>
  <c r="I1006" i="20"/>
  <c r="I1466" i="20"/>
  <c r="I1179" i="20"/>
  <c r="I914" i="20"/>
  <c r="I1141" i="20"/>
  <c r="I945" i="20"/>
  <c r="I1136" i="20"/>
  <c r="I874" i="20"/>
  <c r="I1272" i="20"/>
  <c r="I1392" i="20"/>
  <c r="I1095" i="20"/>
  <c r="G1499" i="20"/>
  <c r="I1390" i="20"/>
  <c r="I908" i="20"/>
  <c r="I1406" i="20"/>
  <c r="I1089" i="20"/>
  <c r="I1104" i="20"/>
  <c r="I1371" i="20"/>
  <c r="I1378" i="20"/>
  <c r="I1119" i="20"/>
  <c r="I1473" i="20"/>
  <c r="I1261" i="20" l="1"/>
  <c r="I1321" i="20" s="1"/>
  <c r="H1321" i="20"/>
  <c r="N91" i="20"/>
  <c r="I119" i="20"/>
  <c r="I281" i="20"/>
  <c r="H341" i="20"/>
  <c r="N625" i="20"/>
  <c r="N626" i="20" s="1"/>
  <c r="I646" i="20"/>
  <c r="I459" i="20"/>
  <c r="H519" i="20"/>
  <c r="I471" i="20"/>
  <c r="N447" i="20"/>
  <c r="N448" i="20" s="1"/>
  <c r="I548" i="20"/>
  <c r="H608" i="20"/>
  <c r="I1082" i="20"/>
  <c r="I1142" i="20" s="1"/>
  <c r="H1142" i="20"/>
  <c r="I637" i="20"/>
  <c r="H697" i="20"/>
  <c r="H875" i="20"/>
  <c r="I815" i="20"/>
  <c r="I875" i="20" s="1"/>
  <c r="H786" i="20"/>
  <c r="I726" i="20"/>
  <c r="I103" i="20"/>
  <c r="H163" i="20"/>
  <c r="H1053" i="20"/>
  <c r="I993" i="20"/>
  <c r="I1053" i="20" s="1"/>
  <c r="I370" i="20"/>
  <c r="H430" i="20"/>
  <c r="H1232" i="20"/>
  <c r="I1172" i="20"/>
  <c r="I1232" i="20" s="1"/>
  <c r="I293" i="20"/>
  <c r="N269" i="20"/>
  <c r="N270" i="20" s="1"/>
  <c r="N180" i="20"/>
  <c r="N181" i="20" s="1"/>
  <c r="I204" i="20"/>
  <c r="I379" i="20"/>
  <c r="N358" i="20"/>
  <c r="N359" i="20" s="1"/>
  <c r="I559" i="20"/>
  <c r="N536" i="20"/>
  <c r="N537" i="20" s="1"/>
  <c r="H252" i="20"/>
  <c r="I192" i="20"/>
  <c r="I1350" i="20"/>
  <c r="I1410" i="20" s="1"/>
  <c r="H1410" i="20"/>
  <c r="H964" i="20"/>
  <c r="I904" i="20"/>
  <c r="I964" i="20" s="1"/>
  <c r="N714" i="20"/>
  <c r="N715" i="20" s="1"/>
  <c r="I732" i="20"/>
  <c r="H1499" i="20"/>
  <c r="I1439" i="20"/>
  <c r="I1499" i="20" s="1"/>
  <c r="I163" i="20" l="1"/>
  <c r="I252" i="20"/>
  <c r="I608" i="20"/>
  <c r="I786" i="20"/>
  <c r="I341" i="20"/>
  <c r="I430" i="20"/>
  <c r="N26" i="20"/>
  <c r="O26" i="20" s="1"/>
  <c r="N92" i="20"/>
  <c r="I697" i="20"/>
  <c r="I519" i="20"/>
  <c r="H10" i="49" l="1"/>
  <c r="D21" i="49" l="1"/>
  <c r="I54" i="49"/>
  <c r="D22" i="49" l="1"/>
  <c r="H21" i="49"/>
  <c r="K21" i="49" l="1"/>
  <c r="D23" i="49"/>
  <c r="H22" i="49"/>
  <c r="K22" i="49" s="1"/>
  <c r="D24" i="49" l="1"/>
  <c r="H23" i="49"/>
  <c r="K23" i="49" s="1"/>
  <c r="D25" i="49" l="1"/>
  <c r="H24" i="49"/>
  <c r="K24" i="49" l="1"/>
  <c r="D26" i="49"/>
  <c r="H25" i="49"/>
  <c r="K25" i="49" s="1"/>
  <c r="D27" i="49" l="1"/>
  <c r="H26" i="49"/>
  <c r="K26" i="49" s="1"/>
  <c r="D28" i="49" l="1"/>
  <c r="H27" i="49"/>
  <c r="K27" i="49" l="1"/>
  <c r="D29" i="49"/>
  <c r="H28" i="49"/>
  <c r="K28" i="49" s="1"/>
  <c r="D30" i="49" l="1"/>
  <c r="H29" i="49"/>
  <c r="K29" i="49" s="1"/>
  <c r="D31" i="49" l="1"/>
  <c r="H30" i="49"/>
  <c r="K30" i="49" s="1"/>
  <c r="D32" i="49" l="1"/>
  <c r="H32" i="49" s="1"/>
  <c r="H31" i="49"/>
  <c r="K31" i="49" s="1"/>
  <c r="K32" i="49" l="1"/>
  <c r="K33" i="49" s="1"/>
  <c r="D36" i="49" s="1"/>
  <c r="H33" i="49"/>
  <c r="H36" i="49" l="1"/>
  <c r="K36" i="49" s="1"/>
  <c r="D39" i="49" l="1"/>
  <c r="I39" i="49"/>
  <c r="I40" i="49" l="1"/>
  <c r="I41" i="49" s="1"/>
  <c r="I42" i="49" s="1"/>
  <c r="I43" i="49" s="1"/>
  <c r="I44" i="49" s="1"/>
  <c r="I45" i="49" s="1"/>
  <c r="I46" i="49" s="1"/>
  <c r="I47" i="49" s="1"/>
  <c r="I48" i="49" s="1"/>
  <c r="I49" i="49" s="1"/>
  <c r="I50" i="49" s="1"/>
  <c r="K39" i="49"/>
  <c r="D40" i="49" s="1"/>
  <c r="H39" i="49"/>
  <c r="K40" i="49" l="1"/>
  <c r="D41" i="49" s="1"/>
  <c r="H40" i="49"/>
  <c r="I53" i="49"/>
  <c r="I55" i="49" l="1"/>
  <c r="K41" i="49"/>
  <c r="D42" i="49" s="1"/>
  <c r="H41" i="49"/>
  <c r="K42" i="49" l="1"/>
  <c r="D43" i="49" s="1"/>
  <c r="H42" i="49"/>
  <c r="K43" i="49" l="1"/>
  <c r="D44" i="49" s="1"/>
  <c r="H43" i="49"/>
  <c r="K44" i="49" l="1"/>
  <c r="D45" i="49" s="1"/>
  <c r="H44" i="49"/>
  <c r="K45" i="49" l="1"/>
  <c r="D46" i="49" s="1"/>
  <c r="H45" i="49"/>
  <c r="K46" i="49" l="1"/>
  <c r="D47" i="49" s="1"/>
  <c r="H46" i="49"/>
  <c r="K47" i="49" l="1"/>
  <c r="D48" i="49" s="1"/>
  <c r="H47" i="49"/>
  <c r="K48" i="49" l="1"/>
  <c r="D49" i="49" s="1"/>
  <c r="H48" i="49"/>
  <c r="K49" i="49" l="1"/>
  <c r="D50" i="49" s="1"/>
  <c r="H49" i="49"/>
  <c r="K50" i="49" l="1"/>
  <c r="H50" i="49"/>
  <c r="H51" i="49" s="1"/>
</calcChain>
</file>

<file path=xl/sharedStrings.xml><?xml version="1.0" encoding="utf-8"?>
<sst xmlns="http://schemas.openxmlformats.org/spreadsheetml/2006/main" count="3060" uniqueCount="1204">
  <si>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</si>
  <si>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</si>
  <si>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</si>
  <si>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</si>
  <si>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</si>
  <si>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</si>
  <si>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</si>
  <si>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</si>
  <si>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</si>
  <si>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</si>
  <si>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</si>
  <si>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</si>
  <si>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</si>
  <si>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</si>
  <si>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</si>
  <si>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</si>
  <si>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</si>
  <si>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</si>
  <si>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</si>
  <si>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</si>
  <si>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</si>
  <si>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</si>
  <si>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</si>
  <si>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</si>
  <si>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</si>
  <si>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</si>
  <si>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</si>
  <si>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</si>
  <si>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</si>
  <si>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</si>
  <si>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</si>
  <si>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</si>
  <si>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</si>
  <si>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</si>
  <si>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</si>
  <si>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</si>
  <si>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</si>
  <si>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</si>
  <si>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</si>
  <si>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</si>
  <si>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</si>
  <si>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</si>
  <si>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</si>
  <si>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</si>
  <si>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</si>
  <si>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</si>
  <si>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</si>
  <si>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</si>
  <si>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</si>
  <si>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</si>
  <si>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</si>
  <si>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</si>
  <si>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</si>
  <si>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</si>
  <si>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</si>
  <si>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</si>
  <si>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</si>
  <si>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</si>
  <si>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</si>
  <si>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</si>
  <si>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</si>
  <si>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</si>
  <si>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</si>
  <si>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</si>
  <si>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</si>
  <si>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</si>
  <si>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</si>
  <si>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</si>
  <si>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</si>
  <si>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</si>
  <si>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</si>
  <si>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</si>
  <si>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</si>
  <si>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</si>
  <si>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</si>
  <si>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</si>
  <si>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</si>
  <si>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</si>
  <si>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</si>
  <si>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</si>
  <si>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</si>
  <si>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</si>
  <si>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</si>
  <si>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</si>
  <si>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</si>
  <si>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</si>
  <si>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</si>
  <si>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</si>
  <si>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</si>
  <si>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</si>
  <si>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</si>
  <si>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</si>
  <si>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</si>
  <si>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</si>
  <si>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</si>
  <si>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</si>
  <si>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</si>
  <si>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</si>
  <si>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</si>
  <si>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</si>
  <si>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</si>
  <si>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</si>
  <si>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</si>
  <si>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</si>
  <si>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</si>
  <si>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</si>
  <si>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</si>
  <si>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</si>
  <si>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</si>
  <si>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</si>
  <si>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</si>
  <si>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</si>
  <si>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</si>
  <si>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</si>
  <si>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</si>
  <si>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</si>
  <si>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</si>
  <si>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</si>
  <si>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</si>
  <si>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</si>
  <si>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</si>
  <si>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</si>
  <si>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</si>
  <si>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</si>
  <si>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</si>
  <si>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</si>
  <si>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</si>
  <si>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</si>
  <si>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</si>
  <si>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</si>
  <si>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</si>
  <si>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</si>
  <si>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</si>
  <si>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</si>
  <si>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</si>
  <si>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</si>
  <si>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</si>
  <si>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</si>
  <si>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</si>
  <si>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</si>
  <si>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</si>
  <si>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</si>
  <si>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</si>
  <si>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</si>
  <si>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</si>
  <si>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</si>
  <si>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</si>
  <si>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</si>
  <si>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</si>
  <si>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</si>
  <si>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</si>
  <si>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</si>
  <si>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</si>
  <si>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</si>
  <si>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</si>
  <si>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</si>
  <si>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</si>
  <si>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</si>
  <si>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</si>
  <si>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</si>
  <si>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</si>
  <si>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</si>
  <si>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</si>
  <si>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</si>
  <si>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</si>
  <si>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</si>
  <si>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</si>
  <si>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</si>
  <si>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</si>
  <si>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</si>
  <si>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</si>
  <si>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</si>
  <si>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</si>
  <si>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</si>
  <si>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</si>
  <si>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</si>
  <si>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</si>
  <si>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</si>
  <si>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</si>
  <si>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</si>
  <si>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</si>
  <si>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</si>
  <si>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</si>
  <si>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</si>
  <si>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</si>
  <si>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</si>
  <si>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</si>
  <si>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</si>
  <si>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</si>
  <si>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</si>
  <si>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</si>
  <si>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</si>
  <si>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</si>
  <si>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</si>
  <si>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</si>
  <si>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</si>
  <si>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</si>
  <si>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</si>
  <si>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</si>
  <si>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</si>
  <si>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</si>
  <si>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</si>
  <si>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</si>
  <si>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</si>
  <si>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</si>
  <si>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</si>
  <si>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</si>
  <si>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</si>
  <si>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</si>
  <si>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</si>
  <si>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</si>
  <si>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</si>
  <si>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</si>
  <si>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</si>
  <si>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</si>
  <si>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</si>
  <si>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</si>
  <si>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</si>
  <si>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</si>
  <si>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</si>
  <si>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</si>
  <si>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</si>
  <si>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</si>
  <si>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</si>
  <si>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</si>
  <si>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</si>
  <si>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</si>
  <si>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</si>
  <si>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</si>
  <si>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</si>
  <si>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</si>
  <si>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</si>
  <si>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</si>
  <si>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</si>
  <si>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</si>
  <si>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</si>
  <si>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</si>
  <si>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</si>
  <si>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</si>
  <si>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</si>
  <si>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</si>
  <si>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</si>
  <si>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</si>
  <si>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</si>
  <si>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</si>
  <si>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</si>
  <si>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</si>
  <si>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</si>
  <si>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</si>
  <si>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</si>
  <si>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</si>
  <si>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</si>
  <si>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</si>
  <si>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</si>
  <si>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</si>
  <si>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</si>
  <si>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</si>
  <si>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</si>
  <si>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</si>
  <si>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</si>
  <si>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</si>
  <si>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</si>
  <si>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</si>
  <si>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</si>
  <si>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</si>
  <si>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</si>
  <si>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</si>
  <si>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</si>
  <si>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</si>
  <si>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</si>
  <si>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</si>
  <si>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</si>
  <si>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</si>
  <si>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</si>
  <si>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</si>
  <si>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</si>
  <si>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</si>
  <si>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</si>
  <si>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</si>
  <si>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</si>
  <si>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</si>
  <si>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</si>
  <si>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</si>
  <si>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</si>
  <si>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</si>
  <si>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</si>
  <si>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</si>
  <si>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</si>
  <si>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</si>
  <si>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</si>
  <si>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</si>
  <si>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</si>
  <si>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</si>
  <si>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</si>
  <si>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</si>
  <si>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</si>
  <si>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</si>
  <si>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</si>
  <si>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</si>
  <si>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</si>
  <si>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</si>
  <si>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</si>
  <si>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</si>
  <si>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</si>
  <si>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</si>
  <si>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</si>
  <si>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</si>
  <si>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</si>
  <si>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</si>
  <si>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</si>
  <si>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</si>
  <si>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</si>
  <si>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</si>
  <si>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</si>
  <si>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</si>
  <si>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</si>
  <si>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</si>
  <si>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</si>
  <si>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</si>
  <si>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</si>
  <si>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</si>
  <si>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</si>
  <si>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</si>
  <si>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</si>
  <si>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</si>
  <si>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</si>
  <si>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</si>
  <si>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</si>
  <si>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</si>
  <si>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</si>
  <si>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</si>
  <si>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</si>
  <si>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</si>
  <si>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</si>
  <si>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</si>
  <si>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</si>
  <si>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</si>
  <si>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</si>
  <si>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</si>
  <si>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</si>
  <si>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</si>
  <si>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</si>
  <si>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</si>
  <si>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</si>
  <si>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</si>
  <si>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</si>
  <si>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</si>
  <si>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</si>
  <si>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</si>
  <si>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</si>
  <si>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</si>
  <si>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</si>
  <si>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</si>
  <si>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</si>
  <si>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</si>
  <si>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</si>
  <si>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</si>
  <si>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</si>
  <si>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</si>
  <si>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</si>
  <si>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</si>
  <si>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</si>
  <si>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</si>
  <si>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</si>
  <si>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</si>
  <si>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</si>
  <si>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</si>
  <si>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</si>
  <si>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</si>
  <si>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</si>
  <si>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</si>
  <si>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</si>
  <si>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</si>
  <si>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</si>
  <si>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</si>
  <si>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</si>
  <si>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</si>
  <si>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</si>
  <si>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</si>
  <si>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</si>
  <si>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</si>
  <si>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</si>
  <si>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</si>
  <si>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</si>
  <si>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</si>
  <si>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</si>
  <si>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</si>
  <si>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</si>
  <si>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</si>
  <si>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</si>
  <si>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</si>
  <si>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</si>
  <si>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</si>
  <si>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</si>
  <si>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</si>
  <si>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</si>
  <si>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</si>
  <si>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</si>
  <si>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</si>
  <si>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</si>
  <si>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</si>
  <si>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</si>
  <si>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</si>
  <si>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</si>
  <si>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</si>
  <si>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</si>
  <si>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</si>
  <si>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</si>
  <si>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</si>
  <si>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</si>
  <si>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</si>
  <si>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</si>
  <si>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</si>
  <si>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</si>
  <si>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</si>
  <si>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</si>
  <si>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</si>
  <si>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</si>
  <si>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</si>
  <si>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</si>
  <si>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</si>
  <si>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</si>
  <si>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</si>
  <si>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</si>
  <si>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</si>
  <si>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</si>
  <si>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</si>
  <si>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</si>
  <si>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</si>
  <si>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</si>
  <si>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</si>
  <si>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</si>
  <si>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</si>
  <si>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</si>
  <si>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</si>
  <si>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</si>
  <si>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</si>
  <si>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</si>
  <si>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</si>
  <si>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</si>
  <si>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</si>
  <si>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</si>
  <si>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</si>
  <si>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</si>
  <si>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</si>
  <si>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</si>
  <si>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</si>
  <si>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</si>
  <si>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</si>
  <si>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</si>
  <si>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</si>
  <si>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</si>
  <si>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</si>
  <si>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</si>
  <si>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</si>
  <si>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</si>
  <si>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</si>
  <si>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</si>
  <si>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</si>
  <si>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</si>
  <si>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</si>
  <si>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</si>
  <si>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</si>
  <si>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</si>
  <si>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</si>
  <si>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</si>
  <si>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</si>
  <si>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</si>
  <si>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</si>
  <si>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</si>
  <si>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</si>
  <si>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</si>
  <si>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</si>
  <si>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</si>
  <si>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</si>
  <si>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</si>
  <si>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</si>
  <si>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</si>
  <si>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</si>
  <si>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</si>
  <si>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</si>
  <si>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</si>
  <si>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</si>
  <si>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</si>
  <si>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</si>
  <si>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</si>
  <si>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</si>
  <si>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</si>
  <si>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</si>
  <si>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</si>
  <si>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</si>
  <si>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</si>
  <si>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</si>
  <si>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</si>
  <si>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</si>
  <si>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</si>
  <si>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</si>
  <si>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</si>
  <si>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</si>
  <si>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</si>
  <si>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</si>
  <si>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</si>
  <si>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</si>
  <si>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</si>
  <si>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</si>
  <si>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</si>
  <si>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</si>
  <si>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</si>
  <si>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</si>
  <si>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</si>
  <si>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</si>
  <si>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</si>
  <si>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</si>
  <si>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</si>
  <si>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</si>
  <si>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</si>
  <si>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</si>
  <si>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</si>
  <si>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</si>
  <si>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</si>
  <si>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</si>
  <si>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</si>
  <si>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</si>
  <si>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</si>
  <si>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</si>
  <si>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</si>
  <si>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</si>
  <si>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Prefunded Pension Expense</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</si>
  <si>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</si>
  <si>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</si>
  <si>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</si>
  <si>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</si>
  <si>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</si>
  <si>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</si>
  <si>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</si>
  <si>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</si>
  <si>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</si>
  <si>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</si>
  <si>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</si>
  <si>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</si>
  <si>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</si>
  <si>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</si>
  <si>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</si>
  <si>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</si>
  <si>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</si>
  <si>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</si>
  <si>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</si>
  <si>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</si>
  <si>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</si>
  <si>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</si>
  <si>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</si>
  <si>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</si>
  <si>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</si>
  <si>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</si>
  <si>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</si>
  <si>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</si>
  <si>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</si>
  <si>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</si>
  <si>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</si>
  <si>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</si>
  <si>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</si>
  <si>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</si>
  <si>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</si>
  <si>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</si>
  <si>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</si>
  <si>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</si>
  <si>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</si>
  <si>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</si>
  <si>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</si>
  <si>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</si>
  <si>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</si>
  <si>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</si>
  <si>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</si>
  <si>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</si>
  <si>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</si>
  <si>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</si>
  <si>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</si>
  <si>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</si>
  <si>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</si>
  <si>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</si>
  <si>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</si>
  <si>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</si>
  <si>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</si>
  <si>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</si>
  <si>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</si>
  <si>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</si>
  <si>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</si>
  <si>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</si>
  <si>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</si>
  <si>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</si>
  <si>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</si>
  <si>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</si>
  <si>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</si>
  <si>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</si>
  <si>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</si>
  <si>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</si>
  <si>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</si>
  <si>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</si>
  <si>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</si>
  <si>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</si>
  <si>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</si>
  <si>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</si>
  <si>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</si>
  <si>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</si>
  <si>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</si>
  <si>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(4)  </t>
  </si>
  <si>
    <t xml:space="preserve">(5)  </t>
  </si>
  <si>
    <t>Attachment H-14B, Part II, pg. 15 of 21.</t>
  </si>
  <si>
    <t xml:space="preserve">(6)  </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</si>
  <si>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</si>
  <si>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</si>
  <si>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</si>
  <si>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</si>
  <si>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</si>
  <si>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</si>
  <si>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</si>
  <si>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</si>
  <si>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</si>
  <si>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</si>
  <si>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</si>
  <si>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</si>
  <si>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</si>
  <si>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</si>
  <si>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</si>
  <si>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</si>
  <si>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</si>
  <si>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</si>
  <si>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</si>
  <si>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</si>
  <si>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</si>
  <si>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</si>
  <si>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</si>
  <si>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</si>
  <si>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</si>
  <si>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</si>
  <si>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</si>
  <si>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</si>
  <si>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</si>
  <si>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</si>
  <si>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</si>
  <si>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</si>
  <si>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</si>
  <si>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</si>
  <si>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</si>
  <si>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</si>
  <si>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</si>
  <si>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</si>
  <si>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</si>
  <si>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</si>
  <si>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</si>
  <si>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</si>
  <si>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</si>
  <si>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</si>
  <si>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</si>
  <si>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</si>
  <si>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</si>
  <si>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</si>
  <si>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</si>
  <si>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</si>
  <si>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</si>
  <si>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</si>
  <si>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</si>
  <si>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</si>
  <si>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</si>
  <si>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</si>
  <si>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</si>
  <si>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</si>
  <si>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</si>
  <si>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</si>
  <si>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</si>
  <si>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</si>
  <si>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</si>
  <si>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</si>
  <si>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</si>
  <si>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</si>
  <si>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</si>
  <si>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</si>
  <si>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</si>
  <si>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</si>
  <si>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</si>
  <si>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</si>
  <si>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</si>
  <si>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</si>
  <si>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</si>
  <si>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</si>
  <si>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</si>
  <si>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</si>
  <si>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</si>
  <si>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</si>
  <si>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</si>
  <si>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</si>
  <si>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</si>
  <si>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</si>
  <si>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</si>
  <si>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</si>
  <si>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</si>
  <si>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</si>
  <si>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</si>
  <si>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</si>
  <si>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</si>
  <si>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</si>
  <si>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</si>
  <si>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</si>
  <si>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</si>
  <si>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</si>
  <si>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</si>
  <si>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</si>
  <si>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</si>
  <si>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</si>
  <si>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</si>
  <si>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</si>
  <si>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</si>
  <si>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</si>
  <si>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</si>
  <si>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</si>
  <si>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</si>
  <si>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</si>
  <si>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</si>
  <si>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</si>
  <si>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</si>
  <si>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</si>
  <si>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</si>
  <si>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</si>
  <si>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</si>
  <si>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</si>
  <si>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</si>
  <si>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</si>
  <si>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</si>
  <si>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</si>
  <si>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</si>
  <si>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</si>
  <si>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</si>
  <si>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</si>
  <si>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</si>
  <si>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</si>
  <si>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</si>
  <si>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</si>
  <si>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</si>
  <si>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</si>
  <si>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</si>
  <si>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</si>
  <si>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</si>
  <si>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</si>
  <si>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</si>
  <si>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</si>
  <si>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</si>
  <si>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</si>
  <si>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</si>
  <si>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</si>
  <si>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</si>
  <si>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</si>
  <si>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</si>
  <si>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</si>
  <si>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</si>
  <si>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</si>
  <si>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</si>
  <si>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</si>
  <si>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</si>
  <si>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</si>
  <si>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</si>
  <si>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</si>
  <si>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</si>
  <si>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</si>
  <si>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</si>
  <si>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</si>
  <si>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</si>
  <si>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</si>
  <si>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</si>
  <si>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</si>
  <si>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</si>
  <si>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</si>
  <si>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</si>
  <si>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FOR SINGLE JURISDICTION COMPANIES</t>
  </si>
  <si>
    <t>KINGSPORT POWER COMPANY</t>
  </si>
  <si>
    <t xml:space="preserve">  Composite Transmission Depreciation Rate</t>
  </si>
  <si>
    <t>Reference:</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</si>
  <si>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</si>
  <si>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</si>
  <si>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</si>
  <si>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</si>
  <si>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</si>
  <si>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</si>
  <si>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</si>
  <si>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</si>
  <si>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</si>
  <si>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</si>
  <si>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</si>
  <si>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</si>
  <si>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</si>
  <si>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</si>
  <si>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</si>
  <si>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</si>
  <si>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</si>
  <si>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</si>
  <si>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</si>
  <si>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</si>
  <si>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</si>
  <si>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</si>
  <si>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</si>
  <si>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</si>
  <si>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</si>
  <si>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</si>
  <si>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</si>
  <si>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</si>
  <si>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</si>
  <si>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</si>
  <si>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</si>
  <si>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</si>
  <si>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</si>
  <si>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</si>
  <si>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</si>
  <si>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</si>
  <si>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</si>
  <si>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</si>
  <si>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</si>
  <si>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</si>
  <si>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</si>
  <si>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</si>
  <si>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</si>
  <si>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</si>
  <si>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</si>
  <si>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</si>
  <si>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</si>
  <si>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</si>
  <si>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</si>
  <si>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</si>
  <si>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</si>
  <si>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</si>
  <si>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</si>
  <si>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</si>
  <si>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</si>
  <si>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</si>
  <si>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</si>
  <si>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</si>
  <si>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</si>
  <si>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</si>
  <si>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</si>
  <si>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</si>
  <si>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</si>
  <si>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</si>
  <si>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</si>
  <si>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</si>
  <si>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</si>
  <si>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</si>
  <si>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</si>
  <si>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</si>
  <si>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</si>
  <si>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</si>
  <si>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</si>
  <si>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</si>
  <si>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</si>
  <si>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</si>
  <si>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</si>
  <si>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</si>
  <si>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</si>
  <si>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</si>
  <si>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</si>
  <si>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</si>
  <si>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</si>
  <si>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1650003</t>
  </si>
  <si>
    <t>Prepaid Rents</t>
  </si>
  <si>
    <t>1650005</t>
  </si>
  <si>
    <t>Prepaid Employee Benefits</t>
  </si>
  <si>
    <t>1650006</t>
  </si>
  <si>
    <t>Other Prepayments</t>
  </si>
  <si>
    <t>1650009</t>
  </si>
  <si>
    <t>Prepaid Carry Cost-Factored AR</t>
  </si>
  <si>
    <t>1650010</t>
  </si>
  <si>
    <t>Prepaid Pension Benefits</t>
  </si>
  <si>
    <t>1650014</t>
  </si>
  <si>
    <t>FAS 158 Qual Contra Asset</t>
  </si>
  <si>
    <t>Prepaid Sales Taxes</t>
  </si>
  <si>
    <t>Prepaid Use Taxes</t>
  </si>
  <si>
    <t>Prepaid Insurance - EIS</t>
  </si>
  <si>
    <t>Prepaid SNF Container Costs</t>
  </si>
  <si>
    <t>Prepaid Lease</t>
  </si>
  <si>
    <t>Prepaid SNF Costs</t>
  </si>
  <si>
    <t>PRW without MED-D Benefits</t>
  </si>
  <si>
    <t>FAS 158 Contra-PRW Exc Med-D</t>
  </si>
  <si>
    <t>Prepaid Taxes-Distribution</t>
  </si>
  <si>
    <t>River Transport</t>
  </si>
  <si>
    <t>Relates to EPRI dues</t>
  </si>
  <si>
    <t xml:space="preserve">AR Factoring </t>
  </si>
  <si>
    <t>Prepaid Sales Tax - Distribution</t>
  </si>
  <si>
    <t>Prepaid Use Tax - Distribution</t>
  </si>
  <si>
    <t>Energy INS Services</t>
  </si>
  <si>
    <t>Med-D Benefits</t>
  </si>
  <si>
    <t>9280000</t>
  </si>
  <si>
    <t>Regulatory Commission Exp</t>
  </si>
  <si>
    <t>9280001</t>
  </si>
  <si>
    <t>Regulatory Commission Exp-Adm</t>
  </si>
  <si>
    <t>9280002</t>
  </si>
  <si>
    <t>Regulatory Commission Exp-Case</t>
  </si>
  <si>
    <t>9301000</t>
  </si>
  <si>
    <t>General Advertising Expenses</t>
  </si>
  <si>
    <t>9301001</t>
  </si>
  <si>
    <t>Newspaper Advertising Space</t>
  </si>
  <si>
    <t>9301006</t>
  </si>
  <si>
    <t>Spec Corporate Comm Info Proj</t>
  </si>
  <si>
    <t>9301010</t>
  </si>
  <si>
    <t>Publicity</t>
  </si>
  <si>
    <t>9301012</t>
  </si>
  <si>
    <t>Public Opinion Surveys</t>
  </si>
  <si>
    <t>9301014</t>
  </si>
  <si>
    <t>Video Communications</t>
  </si>
  <si>
    <t>9301015</t>
  </si>
  <si>
    <t>Other Corporate Comm Exp</t>
  </si>
  <si>
    <t>9302000</t>
  </si>
  <si>
    <t>Misc General Expenses</t>
  </si>
  <si>
    <t>9302003</t>
  </si>
  <si>
    <t>Corporate &amp; Fiscal Expenses</t>
  </si>
  <si>
    <t>9302004</t>
  </si>
  <si>
    <t>Research, Develop&amp;Demonstr Exp</t>
  </si>
  <si>
    <t>9302006</t>
  </si>
  <si>
    <t>9302007</t>
  </si>
  <si>
    <t>Assoc Business Development Exp</t>
  </si>
  <si>
    <t>Ohio Franchise Tax Rate</t>
  </si>
  <si>
    <t>Missouri Corporation Income Tax Rate</t>
  </si>
  <si>
    <t>MICHIGAN JURISDICTION</t>
  </si>
  <si>
    <t>INDIANA JURISDICTION</t>
  </si>
  <si>
    <t>Real and Personal Property - Michigan</t>
  </si>
  <si>
    <t>Real and Personal Property - Indiana</t>
  </si>
  <si>
    <t>Real and Personal Property - Other</t>
  </si>
  <si>
    <t>I &amp; M Worksheet J -  ATRR PROJECTED Calculation for PJM Projects Charged to Benefiting Zones</t>
  </si>
  <si>
    <t>RTEP ID: b0839 (Replace existing 450 MVA transformer at Twin Branch 345 / 138 kV with a 675 MVA transformer)</t>
  </si>
  <si>
    <t>No</t>
  </si>
  <si>
    <r>
      <t xml:space="preserve">** </t>
    </r>
    <r>
      <rPr>
        <sz val="10"/>
        <rFont val="Arial"/>
        <family val="2"/>
      </rPr>
      <t xml:space="preserve"> This is the total amount that needs to be reported to PJM for billing to all regions. </t>
    </r>
  </si>
  <si>
    <r>
      <t xml:space="preserve">## </t>
    </r>
    <r>
      <rPr>
        <b/>
        <sz val="10"/>
        <color indexed="8"/>
        <rFont val="Arial"/>
        <family val="2"/>
      </rPr>
      <t>This is the calculation of  additional incentive revenue on projects deemed by the FERC to be eligible for an incentive return.  This</t>
    </r>
  </si>
  <si>
    <t>RTEP ID: b1465.2 (Replace the 100 MVAR 765 kV shunt reactor bank on Rockport - Jefferson 765 kV line with a 300 MVAR bank at Rockport Station)</t>
  </si>
  <si>
    <t>RTEP ID: b1465.3 (Transpose the Rockport - Sullivan 765 kV line and the Rockport - Jefferson  765 kV line)</t>
  </si>
  <si>
    <t>RTEP ID: b1659.14 (Fort Wayne - Marion: Relocate 138 kV line due to new 765 kV build into Sorenson)</t>
  </si>
  <si>
    <t>RTEP ID: b2048 (Tanners Creek - Support for Transformer A/B Replacement)</t>
  </si>
  <si>
    <t>RTEP ID: b1818 (Expand the Allen station by installing a second 345/138 kV transformer and adding four exits by cutting in the Lincoln-Sterling and Timber Switch -Milan 138 kV double circuit tower line)</t>
  </si>
  <si>
    <t>RTEP ID: b1819 (Rebuild the Robinson Park-Sorneson 138 kV line corridor as a 345 kV double circuit line with one side operated at 345 kV and one side at 138 kV)</t>
  </si>
  <si>
    <t>Total Other Jurisdictions:  (Line 6 * Net Plant Allocator)</t>
  </si>
  <si>
    <t>State Public Service Commission Fees</t>
  </si>
  <si>
    <t>State Franchise Taxes</t>
  </si>
  <si>
    <t>State Lic/Registration Fee</t>
  </si>
  <si>
    <t>Misc. State and Local Tax</t>
  </si>
  <si>
    <t>Sales &amp; Use</t>
  </si>
  <si>
    <t>RTEP ID: b1465.5 (Make switching improvements at Sullivan and Jefferson 765 kV stations)</t>
  </si>
  <si>
    <t>RTEP ID: b2831.1 (Upgrade Tanner Creek-Miami Fort 345kV circuit)</t>
  </si>
  <si>
    <t>Tvelve Months Ended</t>
  </si>
  <si>
    <t>REVENUE REQUIREMENT (v/o incentives)</t>
  </si>
  <si>
    <t xml:space="preserve">(vorksheet E Ln 8) (Note A) </t>
  </si>
  <si>
    <t>(vorksheet E Ln 9) (Note X)</t>
  </si>
  <si>
    <t>Prepaid Leases-All Functions</t>
  </si>
  <si>
    <t>Other - Dist</t>
  </si>
  <si>
    <t>Other Payments - Long Term</t>
  </si>
  <si>
    <t>9280005</t>
  </si>
  <si>
    <t>Reg Com Exp-FERC Trans Cases</t>
  </si>
  <si>
    <t xml:space="preserve">Indiana Michigan Power Company </t>
  </si>
  <si>
    <t>Capital Structure Equity Limit (Note Z)</t>
  </si>
  <si>
    <t>Cap Limit</t>
  </si>
  <si>
    <t>Capital Structure Percentages</t>
  </si>
  <si>
    <t>Z</t>
  </si>
  <si>
    <t xml:space="preserve">Per the settlement in EL17-13, equity is limited to 55% in of the Company's capital structure.  If the percentage of actual equity exceeds the cap, the excess is included as long term debt in the capital structure.  </t>
  </si>
  <si>
    <t xml:space="preserve"> GENERAL PLANT</t>
  </si>
  <si>
    <t>INDIANA MICHIGAN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</si>
  <si>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</si>
  <si>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</si>
  <si>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</si>
  <si>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</si>
  <si>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</si>
  <si>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</si>
  <si>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</si>
  <si>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</si>
  <si>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</si>
  <si>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</si>
  <si>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</si>
  <si>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</si>
  <si>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</si>
  <si>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</si>
  <si>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</si>
  <si>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</si>
  <si>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</si>
  <si>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</si>
  <si>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</si>
  <si>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 xml:space="preserve">410/411
Excess Amortization </t>
  </si>
  <si>
    <t>410/411 Deferred Tax Expense/ (Benefit)</t>
  </si>
  <si>
    <t>Reference</t>
  </si>
  <si>
    <t>Sum of Cols (I) - (O)</t>
  </si>
  <si>
    <t>Deferred Tax Account (NOTE B)</t>
  </si>
  <si>
    <t>1a</t>
  </si>
  <si>
    <t xml:space="preserve">ADFIT - FAS 109 Excess </t>
  </si>
  <si>
    <t>N/A</t>
  </si>
  <si>
    <t>TCJA 2017</t>
  </si>
  <si>
    <t>1b</t>
  </si>
  <si>
    <t>ADFIT - Accel Amortization Property</t>
  </si>
  <si>
    <t>Protected</t>
  </si>
  <si>
    <t>ARAM</t>
  </si>
  <si>
    <t>Life of Asset</t>
  </si>
  <si>
    <t>1c</t>
  </si>
  <si>
    <t>ADFIT - Accel Amort FAS 109 Excess</t>
  </si>
  <si>
    <t>WS B - 1, Col B/C, ADIT Item 2.06</t>
  </si>
  <si>
    <t>1d</t>
  </si>
  <si>
    <t>ADFIT - Utility Property</t>
  </si>
  <si>
    <t>1e</t>
  </si>
  <si>
    <t>Unprotected</t>
  </si>
  <si>
    <t>10 Years</t>
  </si>
  <si>
    <t>1/2018 - 12/2027</t>
  </si>
  <si>
    <t>1f</t>
  </si>
  <si>
    <t>ADFIT - Utility Property FAS 109 Excess</t>
  </si>
  <si>
    <t>1g</t>
  </si>
  <si>
    <t>1h</t>
  </si>
  <si>
    <t>ADFIT - Other Utility Deferrals</t>
  </si>
  <si>
    <t>1i</t>
  </si>
  <si>
    <t>ADFIT - Other FAS 109 Excess</t>
  </si>
  <si>
    <t>1j</t>
  </si>
  <si>
    <t>NOTE E</t>
  </si>
  <si>
    <t>Regulatory Deferral Accounts</t>
  </si>
  <si>
    <t>2a</t>
  </si>
  <si>
    <t xml:space="preserve">Regulatory Asset  </t>
  </si>
  <si>
    <t xml:space="preserve"> Company Records</t>
  </si>
  <si>
    <t>2b</t>
  </si>
  <si>
    <t>Regulatory Liability</t>
  </si>
  <si>
    <t>FERC Form 1 p. 278 Ln. 3 Cols, (b) /(f)</t>
  </si>
  <si>
    <t>2c</t>
  </si>
  <si>
    <t>NOTE F</t>
  </si>
  <si>
    <t>TRANSMISSION FUNCTION BALANCES</t>
  </si>
  <si>
    <t>4a</t>
  </si>
  <si>
    <t>4b</t>
  </si>
  <si>
    <t>4c</t>
  </si>
  <si>
    <t>4d</t>
  </si>
  <si>
    <t>4e</t>
  </si>
  <si>
    <t>4f</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</si>
  <si>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</si>
  <si>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</si>
  <si>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</si>
  <si>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</si>
  <si>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</si>
  <si>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</si>
  <si>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</si>
  <si>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</si>
  <si>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</si>
  <si>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</si>
  <si>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</si>
  <si>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</si>
  <si>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</si>
  <si>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Funcational sections above as required to reflect  any new ADIT or regulatory deferral accounts that may be necessary to track that tax rate change.</t>
  </si>
  <si>
    <t>NOTE F:</t>
  </si>
  <si>
    <t>Gross Receipts Audit</t>
  </si>
  <si>
    <t>Appalachian Power Company</t>
  </si>
  <si>
    <t>Approved by FERC March 2, 1990 in Docket ER90-132</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</si>
  <si>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</si>
  <si>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</si>
  <si>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</si>
  <si>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</si>
  <si>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</si>
  <si>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MICHIGAN AND FERC</t>
  </si>
  <si>
    <t>$0 at Dec 2018 - use old rate</t>
  </si>
  <si>
    <t>EFFECTIVE AS OF 3/1/2019</t>
  </si>
  <si>
    <r>
      <t>190</t>
    </r>
    <r>
      <rPr>
        <sz val="9"/>
        <color rgb="FFFF0000"/>
        <rFont val="Arial"/>
        <family val="2"/>
      </rPr>
      <t>4</t>
    </r>
    <r>
      <rPr>
        <sz val="9"/>
        <rFont val="Arial"/>
        <family val="2"/>
      </rPr>
      <t>001</t>
    </r>
  </si>
  <si>
    <t>WS B - 2 Col B/C, ADIT item 3.21</t>
  </si>
  <si>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</si>
  <si>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</si>
  <si>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</si>
  <si>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O+P+Q+R+S , ADIT Item 5.63</t>
  </si>
  <si>
    <r>
      <t>282</t>
    </r>
    <r>
      <rPr>
        <sz val="9"/>
        <color rgb="FFFF0000"/>
        <rFont val="Arial"/>
        <family val="2"/>
      </rPr>
      <t>4</t>
    </r>
    <r>
      <rPr>
        <sz val="9"/>
        <rFont val="Arial"/>
        <family val="2"/>
      </rPr>
      <t>001</t>
    </r>
  </si>
  <si>
    <t>WS B - 1 Col B/C, ADIT Item 5.62</t>
  </si>
  <si>
    <r>
      <t>283</t>
    </r>
    <r>
      <rPr>
        <sz val="9"/>
        <color rgb="FFFF0000"/>
        <rFont val="Arial"/>
        <family val="2"/>
      </rPr>
      <t>1</t>
    </r>
    <r>
      <rPr>
        <sz val="9"/>
        <rFont val="Arial"/>
        <family val="2"/>
      </rPr>
      <t>001</t>
    </r>
  </si>
  <si>
    <t>WS B - 1 Col B/C, Items 10.30</t>
  </si>
  <si>
    <r>
      <t>283</t>
    </r>
    <r>
      <rPr>
        <sz val="9"/>
        <color rgb="FFFF0000"/>
        <rFont val="Arial"/>
        <family val="2"/>
      </rPr>
      <t>4</t>
    </r>
    <r>
      <rPr>
        <sz val="9"/>
        <rFont val="Arial"/>
        <family val="2"/>
      </rPr>
      <t>001</t>
    </r>
  </si>
  <si>
    <t>WS B - 1 Col B/C, Item 10.33</t>
  </si>
  <si>
    <t>WS B - 1 Col Q, ADIT 5.63</t>
  </si>
  <si>
    <t>WS B - 1 Col Q, item 10.30</t>
  </si>
  <si>
    <t>53c</t>
  </si>
  <si>
    <t>Prepayment - Coal</t>
  </si>
  <si>
    <t>Prepaid Coal</t>
  </si>
  <si>
    <t>2023</t>
  </si>
  <si>
    <t>RTEP ID: b2777 (Reconductor the entire Dequine - Eugene 345 kV circuit #1)</t>
  </si>
  <si>
    <t>For Year Ended December 31, 2024</t>
  </si>
  <si>
    <t>1/1/2024 Beginning  Balances</t>
  </si>
  <si>
    <t>12/31/2024 Ending Balance</t>
  </si>
  <si>
    <t>State Publ Serv CommissionFees</t>
  </si>
  <si>
    <t>AEP EAST OPERATING COMPANIES</t>
  </si>
  <si>
    <t>Docket ER20-1886-000</t>
  </si>
  <si>
    <t>APPALACHIAN POWER COMPANY</t>
  </si>
  <si>
    <t>Compliance Filing</t>
  </si>
  <si>
    <t>ATTACHMENT H-14B</t>
  </si>
  <si>
    <t>Attachment 4</t>
  </si>
  <si>
    <t>WORKSHEET-B-3-A</t>
  </si>
  <si>
    <t>Page 1 of 6</t>
  </si>
  <si>
    <t>TAX REMEASUREMENT WORKSHEET</t>
  </si>
  <si>
    <t>TAX CUT and JOBS ACT of  2017</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</si>
  <si>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</si>
  <si>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</si>
  <si>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</si>
  <si>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</si>
  <si>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</si>
  <si>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</si>
  <si>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</si>
  <si>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</si>
  <si>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</si>
  <si>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</si>
  <si>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</si>
  <si>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</si>
  <si>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</si>
  <si>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190 - Utility</t>
  </si>
  <si>
    <t>2018 FF1 P. 234 Col (b) Line 8</t>
  </si>
  <si>
    <t>Less: Deferred State Taxes</t>
  </si>
  <si>
    <t>1901001</t>
  </si>
  <si>
    <t>2811001</t>
  </si>
  <si>
    <t>2018 FF1 P. 272 Col (b) Line 8</t>
  </si>
  <si>
    <t>2821001</t>
  </si>
  <si>
    <t>2018 FF1 P. 274 Col (b) Line 5</t>
  </si>
  <si>
    <t xml:space="preserve">Protected </t>
  </si>
  <si>
    <t xml:space="preserve">Unprotected </t>
  </si>
  <si>
    <t>283 - Utility</t>
  </si>
  <si>
    <t>2018 FF1 P. 276 Col (b) Line 9</t>
  </si>
  <si>
    <t>Less: Accrued Deferred State Tax</t>
  </si>
  <si>
    <t>2831001</t>
  </si>
  <si>
    <t>(Sum of Lns. 3+4+5+8)</t>
  </si>
  <si>
    <t>TRANSMISSION FUNCTION</t>
  </si>
  <si>
    <t>(Sum of Lns. 10+11+12)</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</si>
  <si>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</si>
  <si>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</si>
  <si>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</si>
  <si>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</si>
  <si>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</si>
  <si>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</si>
  <si>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</si>
  <si>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</si>
  <si>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Companies' Workpaper B-3, Column F, showing the intial remeasurement value determined as a result of the Tax Cut and Jobs Act of 2017.</t>
  </si>
  <si>
    <t>WORKSHEET-B-3- B</t>
  </si>
  <si>
    <t xml:space="preserve">WV House Bill 2026 - Revision of the WV Tax Apportionment Methodolgy from three Factor to One Factor </t>
  </si>
  <si>
    <t>2021 Pre-remeasurement Balance</t>
  </si>
  <si>
    <t>190/282/283</t>
  </si>
  <si>
    <t>Total Fed Cumulative ADIT</t>
  </si>
  <si>
    <t>New Apportionment Factor</t>
  </si>
  <si>
    <t>WV State Tax Rate</t>
  </si>
  <si>
    <t>WV SDIT Single Factor Apportionment (NEW)</t>
  </si>
  <si>
    <t>Prior Apportionment Factor</t>
  </si>
  <si>
    <t>WV SDIT  Three Factor Apportionment Method (PRIOR)</t>
  </si>
  <si>
    <t>Change in Methods (Ln 4 -  Ln 9)</t>
  </si>
  <si>
    <t>Federal Offset (@ 21%)</t>
  </si>
  <si>
    <t>Ln 9</t>
  </si>
  <si>
    <t>Change in Methods (Ln 19 -  Ln 24)</t>
  </si>
  <si>
    <t>Ln 24</t>
  </si>
  <si>
    <t xml:space="preserve">Remeasurement calculation may not equal 0% of the December 31, 2021  deferral balance because of specific ADIT items that are not subject to remeasurement. </t>
  </si>
  <si>
    <t>Not Applicable</t>
  </si>
  <si>
    <t>Ties to each Operating Companies' Workpaper B-3, Column F, showing the intial remeasurement value determined as a result of the WV HB 2026</t>
  </si>
  <si>
    <t>State Income Tax Rate - Indiana</t>
  </si>
  <si>
    <t>State Income Tax Rate - Michigan</t>
  </si>
  <si>
    <t>State Income Tax Rate - West Virginia</t>
  </si>
  <si>
    <t>State Income Tax Rate - Kentucky</t>
  </si>
  <si>
    <t>State Income Tax Rate - Illinois</t>
  </si>
  <si>
    <t>RTEP ID: b1465.4</t>
  </si>
  <si>
    <t>RTEP ID: b2668</t>
  </si>
  <si>
    <t>RTEP ID: b2776</t>
  </si>
  <si>
    <t>RTEP ID: b3775.1</t>
  </si>
  <si>
    <t>RTEP ID: b3775.6</t>
  </si>
  <si>
    <t>RTEP ID: b3775.7</t>
  </si>
  <si>
    <t>LT Coal Prepayment</t>
  </si>
  <si>
    <t>1650041</t>
  </si>
  <si>
    <t>Prepaid Regulatory Fees</t>
  </si>
  <si>
    <t>1650043</t>
  </si>
  <si>
    <t>Prepayment-Sodium Bicarbonate</t>
  </si>
  <si>
    <t>1650044</t>
  </si>
  <si>
    <t>Prepayment-Deferred Coal</t>
  </si>
  <si>
    <t>Assoc Bus Dev - Materials Sold</t>
  </si>
  <si>
    <t>9301007</t>
  </si>
  <si>
    <t>Special Adv Space &amp; Prod Exp</t>
  </si>
  <si>
    <t>2023 Forecasted Revenue Requirement For Year 2023</t>
  </si>
  <si>
    <t>2023 Collections</t>
  </si>
  <si>
    <t>EFFECTIVE AS OF 1/1/2024</t>
  </si>
  <si>
    <t xml:space="preserve"> TRANSMISSION PLANT (6)</t>
  </si>
  <si>
    <t>VA</t>
  </si>
  <si>
    <t xml:space="preserve">  (1) As stated in the order in VA Case No. in Case No. PUR-2020-00015, depreciation rates should be implemented at the time depreciation study is preformed.  This is a preliminary update to the Clinch River depreciation rates until an order is issued approving depreciation rates in 2022-2023 VA Biennial Review.</t>
  </si>
  <si>
    <t xml:space="preserve">Transmission allocation factors are changed annually in January based on </t>
  </si>
  <si>
    <t>September factors as per the PJM tariff approved in FERC Docket ER08-1329</t>
  </si>
  <si>
    <t xml:space="preserve">        Depreciation rates were made effective January 1, 2024.</t>
  </si>
  <si>
    <t xml:space="preserve">(7)  </t>
  </si>
  <si>
    <t>Initial depreciation rates for the jurisdictional shares of CCR/ELG investment at Amos and Mountaineer approved in VA Case No. PUR-2020-00015 and WV Case No. 20-1040-E-CN.</t>
  </si>
  <si>
    <t>EFFECTIVE AS OF JULY 15, 2024</t>
  </si>
  <si>
    <t xml:space="preserve">  (1) As approved by the IURC from settlement in Cause No. 45933 dated May 8, 2024 and effective on May 23, 2024.  </t>
  </si>
  <si>
    <t xml:space="preserve">  (2) As approved as part of a settlement in Michigan Case No. U-21412, order dated October 12, 2023.  New rates became effective upon an order recieved in Case No. U-21461, dated July 2, 2024 (rates effective July 15, 2024).  FERC wholesale formula rate agreements specify that FERC depreciation rates change upon approval of MPSC rates in the Michigan jurisdiction. </t>
  </si>
  <si>
    <t xml:space="preserve">  (3) I&amp;M's Storage Battery Equipment is located in Indiana in East Busco Substation.  The battery was placed in-service in January 2009.  Since the battery is Distribution property located in Indiana, there is only an Indiana depreciation rate associated with this equipment.  Therefore the same Indiana rate was used for Michigan and FERC so that the weighted average rate would equal the Indiana rate.</t>
  </si>
  <si>
    <t xml:space="preserve">  (4) In its order in Indiana Cause No. 43231 dated June 13, 2007, I&amp;M was required to design and administer a Smart Metering Pilot Program including approximately 10,000 meters.  Company personnel reviewed the expected life span for these new meters and determined that due to changes in technology and obsolesence the new equipment should have a life of approximately 10 years. </t>
  </si>
  <si>
    <t xml:space="preserve">  (5) Distribution Plant (recorded by state) is assigned only to jurisdictions within each state.</t>
  </si>
  <si>
    <t>EFFECTIVE AS OF 08/01/2022</t>
  </si>
  <si>
    <t>Note 1:   Rates Approved In Tennessee Regulatory Authority Docket No. 21-00107</t>
  </si>
  <si>
    <t xml:space="preserve">  Land and Land Rights</t>
  </si>
  <si>
    <t xml:space="preserve">  Structures and Improvements</t>
  </si>
  <si>
    <t xml:space="preserve">  Office Furniture and Equip.</t>
  </si>
  <si>
    <t xml:space="preserve">  Transportation Equipment</t>
  </si>
  <si>
    <t xml:space="preserve">  Stores Equipment</t>
  </si>
  <si>
    <t xml:space="preserve">  Tools, Shop and Garage  Equipment</t>
  </si>
  <si>
    <t xml:space="preserve">  Power Operated Equipment</t>
  </si>
  <si>
    <t xml:space="preserve">  Communications Equipment</t>
  </si>
  <si>
    <t xml:space="preserve">  Micellaneous Equipment</t>
  </si>
  <si>
    <t>EFFECTIVE AS OF 1/1/2012</t>
  </si>
  <si>
    <t>GENERAL PLANT (NOTE 2)</t>
  </si>
  <si>
    <t xml:space="preserve">  AMI - Communications Equipment</t>
  </si>
  <si>
    <t xml:space="preserve">Note 2: General Plant depreciation rates were updated as a result of the order issued in Cases No 16-1852-EL-SSO and 16-1853-EL-SSO. </t>
  </si>
  <si>
    <t>Apportionment Factor - Note 1</t>
  </si>
  <si>
    <t>An over or under collection will be recovered prorata over 2023, held for 2024 and returned prorate over 2025</t>
  </si>
  <si>
    <t>Senior Unsecured Notes - Series F</t>
  </si>
  <si>
    <t>November 2004</t>
  </si>
  <si>
    <t>November 2014</t>
  </si>
  <si>
    <t>Senior Unsecured Notes - Series G</t>
  </si>
  <si>
    <t>Senior Unsecured Notes - Series H</t>
  </si>
  <si>
    <t>Senior Unsecured Notes - Series J</t>
  </si>
  <si>
    <t>Senior Unsecured Notes - Series P (new)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</si>
</sst>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mm/dd/yy"/>
    <numFmt numFmtId="191" formatCode="0.000"/>
    <numFmt numFmtId="192" formatCode="0.000000_)"/>
    <numFmt numFmtId="193" formatCode="#,##0.000000_);\(#,##0.000000\)"/>
    <numFmt numFmtId="194" formatCode="0_);\(0\)"/>
    <numFmt numFmtId="195" formatCode="0.0"/>
    <numFmt numFmtId="196" formatCode="&quot;$&quot;#,##0.0000"/>
    <numFmt numFmtId="197" formatCode="[$-409]mmm\-yy;@"/>
    <numFmt numFmtId="198" formatCode="#,##0_);[Red]\(#,##0\);&quot; &quot;"/>
    <numFmt numFmtId="199" formatCode="_(* #,##0.00_);_(* \(#,##0.00\);_(* &quot;-&quot;_);_(@_)"/>
    <numFmt numFmtId="200" formatCode="_(* #,##0.000_);_(* \(#,##0.000\);_(* &quot;-&quot;??_);_(@_)"/>
    <numFmt numFmtId="201" formatCode="0.000000%"/>
    <numFmt numFmtId="202" formatCode="0.0000000"/>
  </numFmts>
  <fonts count="173">
    <font>
      <sz val="10"/>
      <name val="Arial"/>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b/>
      <u/>
      <sz val="11"/>
      <name val="Arial"/>
      <family val="2"/>
    </font>
    <font>
      <sz val="10"/>
      <name val="Arial"/>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sz val="10"/>
      <name val="Calibri"/>
      <family val="2"/>
      <scheme val="minor"/>
    </font>
    <font>
      <i/>
      <sz val="12"/>
      <name val="Arial MT"/>
    </font>
    <font>
      <sz val="9"/>
      <color rgb="FFFF000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theme="0"/>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medium">
        <color indexed="8"/>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style="thin">
        <color indexed="64"/>
      </right>
      <top style="thin">
        <color indexed="64"/>
      </top>
      <bottom/>
      <diagonal/>
    </border>
  </borders>
  <cellStyleXfs count="407">
    <xf numFmtId="0" fontId="0" fillId="0" borderId="0"/>
    <xf numFmtId="0" fontId="35" fillId="2"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172" fontId="38" fillId="0" borderId="0" applyFill="0"/>
    <xf numFmtId="172" fontId="38" fillId="0" borderId="0">
      <alignment horizontal="center"/>
    </xf>
    <xf numFmtId="0" fontId="38" fillId="0" borderId="0" applyFill="0">
      <alignment horizontal="center"/>
    </xf>
    <xf numFmtId="172" fontId="4" fillId="0" borderId="1" applyFill="0"/>
    <xf numFmtId="0" fontId="12" fillId="0" borderId="0" applyFont="0" applyAlignment="0"/>
    <xf numFmtId="0" fontId="39" fillId="0" borderId="0" applyFill="0">
      <alignment vertical="top"/>
    </xf>
    <xf numFmtId="0" fontId="4" fillId="0" borderId="0" applyFill="0">
      <alignment horizontal="left" vertical="top"/>
    </xf>
    <xf numFmtId="172" fontId="6" fillId="0" borderId="2" applyFill="0"/>
    <xf numFmtId="0" fontId="12" fillId="0" borderId="0" applyNumberFormat="0" applyFont="0" applyAlignment="0"/>
    <xf numFmtId="0" fontId="39" fillId="0" borderId="0" applyFill="0">
      <alignment wrapText="1"/>
    </xf>
    <xf numFmtId="0" fontId="4" fillId="0" borderId="0" applyFill="0">
      <alignment horizontal="left" vertical="top" wrapText="1"/>
    </xf>
    <xf numFmtId="172" fontId="40" fillId="0" borderId="0" applyFill="0"/>
    <xf numFmtId="0" fontId="41" fillId="0" borderId="0" applyNumberFormat="0" applyFont="0" applyAlignment="0">
      <alignment horizontal="center"/>
    </xf>
    <xf numFmtId="0" fontId="42" fillId="0" borderId="0" applyFill="0">
      <alignment vertical="top" wrapText="1"/>
    </xf>
    <xf numFmtId="0" fontId="6" fillId="0" borderId="0" applyFill="0">
      <alignment horizontal="left" vertical="top" wrapText="1"/>
    </xf>
    <xf numFmtId="172" fontId="12" fillId="0" borderId="0" applyFill="0"/>
    <xf numFmtId="0" fontId="41" fillId="0" borderId="0" applyNumberFormat="0" applyFont="0" applyAlignment="0">
      <alignment horizontal="center"/>
    </xf>
    <xf numFmtId="0" fontId="28" fillId="0" borderId="0" applyFill="0">
      <alignment vertical="center" wrapText="1"/>
    </xf>
    <xf numFmtId="0" fontId="5" fillId="0" borderId="0">
      <alignment horizontal="left" vertical="center" wrapText="1"/>
    </xf>
    <xf numFmtId="172" fontId="24" fillId="0" borderId="0" applyFill="0"/>
    <xf numFmtId="0" fontId="41" fillId="0" borderId="0" applyNumberFormat="0" applyFont="0" applyAlignment="0">
      <alignment horizontal="center"/>
    </xf>
    <xf numFmtId="0" fontId="16" fillId="0" borderId="0" applyFill="0">
      <alignment horizontal="center" vertical="center" wrapText="1"/>
    </xf>
    <xf numFmtId="0" fontId="12" fillId="0" borderId="0" applyFill="0">
      <alignment horizontal="center" vertical="center" wrapText="1"/>
    </xf>
    <xf numFmtId="172" fontId="43" fillId="0" borderId="0" applyFill="0"/>
    <xf numFmtId="0" fontId="41" fillId="0" borderId="0" applyNumberFormat="0" applyFont="0" applyAlignment="0">
      <alignment horizontal="center"/>
    </xf>
    <xf numFmtId="0" fontId="44" fillId="0" borderId="0" applyFill="0">
      <alignment horizontal="center" vertical="center" wrapText="1"/>
    </xf>
    <xf numFmtId="0" fontId="45" fillId="0" borderId="0" applyFill="0">
      <alignment horizontal="center" vertical="center" wrapText="1"/>
    </xf>
    <xf numFmtId="172" fontId="46" fillId="0" borderId="0" applyFill="0"/>
    <xf numFmtId="0" fontId="41" fillId="0" borderId="0" applyNumberFormat="0" applyFont="0" applyAlignment="0">
      <alignment horizontal="center"/>
    </xf>
    <xf numFmtId="0" fontId="47" fillId="0" borderId="0">
      <alignment horizontal="center" wrapText="1"/>
    </xf>
    <xf numFmtId="0" fontId="43" fillId="0" borderId="0" applyFill="0">
      <alignment horizontal="center" wrapText="1"/>
    </xf>
    <xf numFmtId="0" fontId="48" fillId="20" borderId="3" applyNumberFormat="0" applyAlignment="0" applyProtection="0"/>
    <xf numFmtId="0" fontId="48" fillId="20" borderId="3" applyNumberFormat="0" applyAlignment="0" applyProtection="0"/>
    <xf numFmtId="0" fontId="49" fillId="21" borderId="4" applyNumberFormat="0" applyAlignment="0" applyProtection="0"/>
    <xf numFmtId="0" fontId="49" fillId="21" borderId="4" applyNumberFormat="0" applyAlignment="0" applyProtection="0"/>
    <xf numFmtId="43" fontId="2" fillId="0" borderId="0" applyFont="0" applyFill="0" applyBorder="0" applyAlignment="0" applyProtection="0"/>
    <xf numFmtId="43" fontId="12" fillId="0" borderId="0" applyFont="0" applyFill="0" applyBorder="0" applyAlignment="0" applyProtection="0"/>
    <xf numFmtId="43" fontId="156" fillId="0" borderId="0" applyFont="0" applyFill="0" applyBorder="0" applyAlignment="0" applyProtection="0"/>
    <xf numFmtId="43" fontId="15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56" fillId="0" borderId="0" applyFont="0" applyFill="0" applyBorder="0" applyAlignment="0" applyProtection="0"/>
    <xf numFmtId="43" fontId="12" fillId="0" borderId="0" applyFont="0" applyFill="0" applyBorder="0" applyAlignment="0" applyProtection="0"/>
    <xf numFmtId="43" fontId="12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4" fillId="0" borderId="0" applyFont="0" applyFill="0" applyBorder="0" applyAlignment="0" applyProtection="0"/>
    <xf numFmtId="43" fontId="12" fillId="0" borderId="0" applyFont="0" applyFill="0" applyBorder="0" applyAlignment="0" applyProtection="0"/>
    <xf numFmtId="43" fontId="137" fillId="0" borderId="0" applyFont="0" applyFill="0" applyBorder="0" applyAlignment="0" applyProtection="0"/>
    <xf numFmtId="43" fontId="12" fillId="0" borderId="0" applyFont="0" applyFill="0" applyBorder="0" applyAlignment="0" applyProtection="0"/>
    <xf numFmtId="43" fontId="154" fillId="0" borderId="0" applyFont="0" applyFill="0" applyBorder="0" applyAlignment="0" applyProtection="0"/>
    <xf numFmtId="43" fontId="12" fillId="0" borderId="0" applyFont="0" applyFill="0" applyBorder="0" applyAlignment="0" applyProtection="0"/>
    <xf numFmtId="43" fontId="15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9" fillId="0" borderId="0" applyFont="0" applyFill="0" applyBorder="0" applyAlignment="0" applyProtection="0"/>
    <xf numFmtId="43" fontId="12" fillId="0" borderId="0" applyFont="0" applyFill="0" applyBorder="0" applyAlignment="0" applyProtection="0"/>
    <xf numFmtId="43" fontId="134" fillId="0" borderId="0" applyFont="0" applyFill="0" applyBorder="0" applyAlignment="0" applyProtection="0"/>
    <xf numFmtId="43" fontId="12" fillId="0" borderId="0" applyFont="0" applyFill="0" applyBorder="0" applyAlignment="0" applyProtection="0"/>
    <xf numFmtId="43" fontId="159" fillId="0" borderId="0" applyFont="0" applyFill="0" applyBorder="0" applyAlignment="0" applyProtection="0"/>
    <xf numFmtId="43" fontId="12" fillId="0" borderId="0" applyFont="0" applyFill="0" applyBorder="0" applyAlignment="0" applyProtection="0"/>
    <xf numFmtId="43" fontId="159" fillId="0" borderId="0" applyFont="0" applyFill="0" applyBorder="0" applyAlignment="0" applyProtection="0"/>
    <xf numFmtId="43" fontId="14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4" fillId="0" borderId="0" applyFont="0" applyFill="0" applyBorder="0" applyAlignment="0" applyProtection="0"/>
    <xf numFmtId="43" fontId="12" fillId="0" borderId="0" applyFont="0" applyFill="0" applyBorder="0" applyAlignment="0" applyProtection="0"/>
    <xf numFmtId="43" fontId="15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3" fontId="12" fillId="0" borderId="0" applyFont="0" applyFill="0" applyBorder="0" applyAlignment="0" applyProtection="0"/>
    <xf numFmtId="44" fontId="2" fillId="0" borderId="0" applyFont="0" applyFill="0" applyBorder="0" applyAlignment="0" applyProtection="0"/>
    <xf numFmtId="44" fontId="156"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56" fillId="0" borderId="0" applyFont="0" applyFill="0" applyBorder="0" applyAlignment="0" applyProtection="0"/>
    <xf numFmtId="44" fontId="12" fillId="0" borderId="0" applyFont="0" applyFill="0" applyBorder="0" applyAlignment="0" applyProtection="0"/>
    <xf numFmtId="44" fontId="12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3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34" fillId="0" borderId="0" applyFont="0" applyFill="0" applyBorder="0" applyAlignment="0" applyProtection="0"/>
    <xf numFmtId="44" fontId="12" fillId="0" borderId="0" applyFont="0" applyFill="0" applyBorder="0" applyAlignment="0" applyProtection="0"/>
    <xf numFmtId="44" fontId="154" fillId="0" borderId="0" applyFont="0" applyFill="0" applyBorder="0" applyAlignment="0" applyProtection="0"/>
    <xf numFmtId="44" fontId="12" fillId="0" borderId="0" applyFont="0" applyFill="0" applyBorder="0" applyAlignment="0" applyProtection="0"/>
    <xf numFmtId="44" fontId="15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59" fillId="0" borderId="0" applyFont="0" applyFill="0" applyBorder="0" applyAlignment="0" applyProtection="0"/>
    <xf numFmtId="44" fontId="12" fillId="0" borderId="0" applyFont="0" applyFill="0" applyBorder="0" applyAlignment="0" applyProtection="0"/>
    <xf numFmtId="44" fontId="134" fillId="0" borderId="0" applyFont="0" applyFill="0" applyBorder="0" applyAlignment="0" applyProtection="0"/>
    <xf numFmtId="44" fontId="12" fillId="0" borderId="0" applyFont="0" applyFill="0" applyBorder="0" applyAlignment="0" applyProtection="0"/>
    <xf numFmtId="44" fontId="159" fillId="0" borderId="0" applyFont="0" applyFill="0" applyBorder="0" applyAlignment="0" applyProtection="0"/>
    <xf numFmtId="44" fontId="154" fillId="0" borderId="0" applyFont="0" applyFill="0" applyBorder="0" applyAlignment="0" applyProtection="0"/>
    <xf numFmtId="44" fontId="12" fillId="0" borderId="0" applyFont="0" applyFill="0" applyBorder="0" applyAlignment="0" applyProtection="0"/>
    <xf numFmtId="44" fontId="15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5" fontId="12" fillId="0" borderId="0" applyFont="0" applyFill="0" applyBorder="0" applyAlignment="0" applyProtection="0"/>
    <xf numFmtId="14" fontId="12"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 fontId="12" fillId="0" borderId="0" applyFont="0" applyFill="0" applyBorder="0" applyAlignment="0" applyProtection="0"/>
    <xf numFmtId="0" fontId="51" fillId="4" borderId="0" applyNumberFormat="0" applyBorder="0" applyAlignment="0" applyProtection="0"/>
    <xf numFmtId="0" fontId="51" fillId="4" borderId="0" applyNumberFormat="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52" fillId="0" borderId="5" applyNumberFormat="0" applyFill="0" applyAlignment="0" applyProtection="0"/>
    <xf numFmtId="0" fontId="52" fillId="0" borderId="5"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6"/>
    <xf numFmtId="0" fontId="54" fillId="0" borderId="0"/>
    <xf numFmtId="0" fontId="55" fillId="7" borderId="3" applyNumberFormat="0" applyAlignment="0" applyProtection="0"/>
    <xf numFmtId="0" fontId="55" fillId="7" borderId="3" applyNumberFormat="0" applyAlignment="0" applyProtection="0"/>
    <xf numFmtId="0" fontId="56" fillId="0" borderId="7" applyNumberFormat="0" applyFill="0" applyAlignment="0" applyProtection="0"/>
    <xf numFmtId="0" fontId="56" fillId="0" borderId="7" applyNumberFormat="0" applyFill="0" applyAlignment="0" applyProtection="0"/>
    <xf numFmtId="0" fontId="57" fillId="22" borderId="0" applyNumberFormat="0" applyBorder="0" applyAlignment="0" applyProtection="0"/>
    <xf numFmtId="0" fontId="57" fillId="22" borderId="0" applyNumberFormat="0" applyBorder="0" applyAlignment="0" applyProtection="0"/>
    <xf numFmtId="3" fontId="129" fillId="0" borderId="0"/>
    <xf numFmtId="3" fontId="12" fillId="0" borderId="0"/>
    <xf numFmtId="3" fontId="12" fillId="0" borderId="0"/>
    <xf numFmtId="3" fontId="129" fillId="0" borderId="0"/>
    <xf numFmtId="0" fontId="12" fillId="0" borderId="0"/>
    <xf numFmtId="0" fontId="12" fillId="0" borderId="0"/>
    <xf numFmtId="3" fontId="12" fillId="0" borderId="0"/>
    <xf numFmtId="3" fontId="129" fillId="0" borderId="0"/>
    <xf numFmtId="3" fontId="12" fillId="0" borderId="0"/>
    <xf numFmtId="0" fontId="159" fillId="0" borderId="0"/>
    <xf numFmtId="3" fontId="129" fillId="0" borderId="0"/>
    <xf numFmtId="3" fontId="12" fillId="0" borderId="0"/>
    <xf numFmtId="3" fontId="129" fillId="0" borderId="0"/>
    <xf numFmtId="3" fontId="12" fillId="0" borderId="0"/>
    <xf numFmtId="0" fontId="12" fillId="0" borderId="0"/>
    <xf numFmtId="3" fontId="129" fillId="0" borderId="0"/>
    <xf numFmtId="3" fontId="12" fillId="0" borderId="0"/>
    <xf numFmtId="3" fontId="129" fillId="0" borderId="0"/>
    <xf numFmtId="3" fontId="12" fillId="0" borderId="0"/>
    <xf numFmtId="3" fontId="129" fillId="0" borderId="0"/>
    <xf numFmtId="3" fontId="12" fillId="0" borderId="0"/>
    <xf numFmtId="3" fontId="130" fillId="0" borderId="0"/>
    <xf numFmtId="3" fontId="12" fillId="0" borderId="0"/>
    <xf numFmtId="0" fontId="12" fillId="0" borderId="0"/>
    <xf numFmtId="0" fontId="128" fillId="0" borderId="0"/>
    <xf numFmtId="0" fontId="160" fillId="0" borderId="0"/>
    <xf numFmtId="0" fontId="12" fillId="0" borderId="0"/>
    <xf numFmtId="0" fontId="12" fillId="0" borderId="0"/>
    <xf numFmtId="0" fontId="160" fillId="0" borderId="0"/>
    <xf numFmtId="0" fontId="12" fillId="0" borderId="0"/>
    <xf numFmtId="0"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2" fillId="0" borderId="0"/>
    <xf numFmtId="3" fontId="137" fillId="0" borderId="0"/>
    <xf numFmtId="3" fontId="12" fillId="0" borderId="0"/>
    <xf numFmtId="3" fontId="137" fillId="0" borderId="0"/>
    <xf numFmtId="3" fontId="12" fillId="0" borderId="0"/>
    <xf numFmtId="0" fontId="12" fillId="0" borderId="0"/>
    <xf numFmtId="0" fontId="12" fillId="0" borderId="0"/>
    <xf numFmtId="3" fontId="12" fillId="0" borderId="0"/>
    <xf numFmtId="0" fontId="12" fillId="0" borderId="0"/>
    <xf numFmtId="0" fontId="12" fillId="0" borderId="0"/>
    <xf numFmtId="0" fontId="2" fillId="0" borderId="0"/>
    <xf numFmtId="0" fontId="12" fillId="0" borderId="0"/>
    <xf numFmtId="0" fontId="156" fillId="0" borderId="0"/>
    <xf numFmtId="0" fontId="12" fillId="0" borderId="0"/>
    <xf numFmtId="0" fontId="129" fillId="0" borderId="0"/>
    <xf numFmtId="0" fontId="12" fillId="0" borderId="0"/>
    <xf numFmtId="0" fontId="12" fillId="0" borderId="0"/>
    <xf numFmtId="0" fontId="130" fillId="0" borderId="0"/>
    <xf numFmtId="0" fontId="12" fillId="0" borderId="0"/>
    <xf numFmtId="0" fontId="12" fillId="0" borderId="0"/>
    <xf numFmtId="0" fontId="12" fillId="0" borderId="0"/>
    <xf numFmtId="0" fontId="134" fillId="0" borderId="0"/>
    <xf numFmtId="0" fontId="12" fillId="0" borderId="0"/>
    <xf numFmtId="0" fontId="137" fillId="0" borderId="0"/>
    <xf numFmtId="0" fontId="12" fillId="0" borderId="0"/>
    <xf numFmtId="0" fontId="154" fillId="0" borderId="0"/>
    <xf numFmtId="0" fontId="12" fillId="0" borderId="0"/>
    <xf numFmtId="0" fontId="154" fillId="0" borderId="0"/>
    <xf numFmtId="0" fontId="12" fillId="0" borderId="0"/>
    <xf numFmtId="0" fontId="12" fillId="0" borderId="0"/>
    <xf numFmtId="0" fontId="12" fillId="0" borderId="0"/>
    <xf numFmtId="3" fontId="122" fillId="0" borderId="0"/>
    <xf numFmtId="3" fontId="12" fillId="0" borderId="0"/>
    <xf numFmtId="0" fontId="12" fillId="0" borderId="0"/>
    <xf numFmtId="3" fontId="12" fillId="0" borderId="0"/>
    <xf numFmtId="0" fontId="12" fillId="0" borderId="0"/>
    <xf numFmtId="0" fontId="159" fillId="0" borderId="0"/>
    <xf numFmtId="0" fontId="129" fillId="0" borderId="0"/>
    <xf numFmtId="0" fontId="12" fillId="0" borderId="0"/>
    <xf numFmtId="0" fontId="12" fillId="0" borderId="0"/>
    <xf numFmtId="0" fontId="130" fillId="0" borderId="0"/>
    <xf numFmtId="0" fontId="12" fillId="0" borderId="0"/>
    <xf numFmtId="0" fontId="137" fillId="0" borderId="0"/>
    <xf numFmtId="0" fontId="12" fillId="0" borderId="0"/>
    <xf numFmtId="0" fontId="159" fillId="0" borderId="0"/>
    <xf numFmtId="0" fontId="12" fillId="0" borderId="0"/>
    <xf numFmtId="0" fontId="159" fillId="0" borderId="0"/>
    <xf numFmtId="0" fontId="12" fillId="0" borderId="0"/>
    <xf numFmtId="0" fontId="159" fillId="0" borderId="0"/>
    <xf numFmtId="0" fontId="12" fillId="0" borderId="0"/>
    <xf numFmtId="0" fontId="3" fillId="0" borderId="0" applyProtection="0"/>
    <xf numFmtId="0" fontId="2" fillId="0" borderId="0"/>
    <xf numFmtId="0" fontId="130" fillId="0" borderId="0"/>
    <xf numFmtId="0" fontId="12" fillId="0" borderId="0"/>
    <xf numFmtId="0" fontId="12" fillId="0" borderId="0"/>
    <xf numFmtId="0" fontId="134" fillId="0" borderId="0"/>
    <xf numFmtId="0" fontId="12" fillId="0" borderId="0"/>
    <xf numFmtId="172" fontId="3" fillId="0" borderId="0" applyProtection="0"/>
    <xf numFmtId="0" fontId="2" fillId="0" borderId="0"/>
    <xf numFmtId="172" fontId="3" fillId="0" borderId="0" applyProtection="0"/>
    <xf numFmtId="0" fontId="70" fillId="0" borderId="0"/>
    <xf numFmtId="0" fontId="12" fillId="0" borderId="0"/>
    <xf numFmtId="0" fontId="3" fillId="0" borderId="0"/>
    <xf numFmtId="0" fontId="12" fillId="0" borderId="0"/>
    <xf numFmtId="0" fontId="2" fillId="0" borderId="0"/>
    <xf numFmtId="0" fontId="3" fillId="23" borderId="8" applyNumberFormat="0" applyFont="0" applyAlignment="0" applyProtection="0"/>
    <xf numFmtId="0" fontId="3" fillId="23" borderId="8" applyNumberFormat="0" applyFont="0" applyAlignment="0" applyProtection="0"/>
    <xf numFmtId="0" fontId="58" fillId="20" borderId="9" applyNumberFormat="0" applyAlignment="0" applyProtection="0"/>
    <xf numFmtId="0" fontId="58" fillId="20" borderId="9" applyNumberFormat="0" applyAlignment="0" applyProtection="0"/>
    <xf numFmtId="9" fontId="2" fillId="0" borderId="0" applyFont="0" applyFill="0" applyBorder="0" applyAlignment="0" applyProtection="0"/>
    <xf numFmtId="9" fontId="12" fillId="0" borderId="0" applyFont="0" applyFill="0" applyBorder="0" applyAlignment="0" applyProtection="0"/>
    <xf numFmtId="9" fontId="15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156" fillId="0" borderId="0" applyFont="0" applyFill="0" applyBorder="0" applyAlignment="0" applyProtection="0"/>
    <xf numFmtId="9" fontId="12" fillId="0" borderId="0" applyFont="0" applyFill="0" applyBorder="0" applyAlignment="0" applyProtection="0"/>
    <xf numFmtId="9" fontId="12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4" fillId="0" borderId="0" applyFont="0" applyFill="0" applyBorder="0" applyAlignment="0" applyProtection="0"/>
    <xf numFmtId="9" fontId="12" fillId="0" borderId="0" applyFont="0" applyFill="0" applyBorder="0" applyAlignment="0" applyProtection="0"/>
    <xf numFmtId="9" fontId="154" fillId="0" borderId="0" applyFont="0" applyFill="0" applyBorder="0" applyAlignment="0" applyProtection="0"/>
    <xf numFmtId="9" fontId="12" fillId="0" borderId="0" applyFont="0" applyFill="0" applyBorder="0" applyAlignment="0" applyProtection="0"/>
    <xf numFmtId="9" fontId="15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4" fillId="0" borderId="0" applyFont="0" applyFill="0" applyBorder="0" applyAlignment="0" applyProtection="0"/>
    <xf numFmtId="9" fontId="12" fillId="0" borderId="0" applyFont="0" applyFill="0" applyBorder="0" applyAlignment="0" applyProtection="0"/>
    <xf numFmtId="9" fontId="159" fillId="0" borderId="0" applyFont="0" applyFill="0" applyBorder="0" applyAlignment="0" applyProtection="0"/>
    <xf numFmtId="9" fontId="14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4" fillId="0" borderId="0" applyFont="0" applyFill="0" applyBorder="0" applyAlignment="0" applyProtection="0"/>
    <xf numFmtId="9" fontId="12" fillId="0" borderId="0" applyFont="0" applyFill="0" applyBorder="0" applyAlignment="0" applyProtection="0"/>
    <xf numFmtId="9" fontId="15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12" fillId="0" borderId="0">
      <alignment horizontal="left" vertical="top"/>
    </xf>
    <xf numFmtId="0" fontId="34" fillId="0" borderId="6">
      <alignment horizontal="center"/>
    </xf>
    <xf numFmtId="3" fontId="33" fillId="0" borderId="0" applyFont="0" applyFill="0" applyBorder="0" applyAlignment="0" applyProtection="0"/>
    <xf numFmtId="0" fontId="33" fillId="24" borderId="0" applyNumberFormat="0" applyFont="0" applyBorder="0" applyAlignment="0" applyProtection="0"/>
    <xf numFmtId="3" fontId="12" fillId="0" borderId="0">
      <alignment horizontal="right" vertical="top"/>
    </xf>
    <xf numFmtId="41" fontId="5" fillId="25" borderId="10" applyFill="0"/>
    <xf numFmtId="0" fontId="59" fillId="0" borderId="0">
      <alignment horizontal="left" indent="7"/>
    </xf>
    <xf numFmtId="41" fontId="5" fillId="0" borderId="10" applyFill="0">
      <alignment horizontal="left" indent="2"/>
    </xf>
    <xf numFmtId="172" fontId="25" fillId="0" borderId="11" applyFill="0">
      <alignment horizontal="right"/>
    </xf>
    <xf numFmtId="0" fontId="9" fillId="0" borderId="12" applyNumberFormat="0" applyFont="0" applyBorder="0">
      <alignment horizontal="right"/>
    </xf>
    <xf numFmtId="0" fontId="60" fillId="0" borderId="0" applyFill="0"/>
    <xf numFmtId="0" fontId="6" fillId="0" borderId="0" applyFill="0"/>
    <xf numFmtId="4" fontId="25" fillId="0" borderId="11" applyFill="0"/>
    <xf numFmtId="0" fontId="12" fillId="0" borderId="0" applyNumberFormat="0" applyFont="0" applyBorder="0" applyAlignment="0"/>
    <xf numFmtId="0" fontId="42" fillId="0" borderId="0" applyFill="0">
      <alignment horizontal="left" indent="1"/>
    </xf>
    <xf numFmtId="0" fontId="61" fillId="0" borderId="0" applyFill="0">
      <alignment horizontal="left" indent="1"/>
    </xf>
    <xf numFmtId="4" fontId="24" fillId="0" borderId="0" applyFill="0"/>
    <xf numFmtId="0" fontId="12" fillId="0" borderId="0" applyNumberFormat="0" applyFont="0" applyFill="0" applyBorder="0" applyAlignment="0"/>
    <xf numFmtId="0" fontId="42" fillId="0" borderId="0" applyFill="0">
      <alignment horizontal="left" indent="2"/>
    </xf>
    <xf numFmtId="0" fontId="6" fillId="0" borderId="0" applyFill="0">
      <alignment horizontal="left" indent="2"/>
    </xf>
    <xf numFmtId="4" fontId="24" fillId="0" borderId="0" applyFill="0"/>
    <xf numFmtId="0" fontId="12" fillId="0" borderId="0" applyNumberFormat="0" applyFont="0" applyBorder="0" applyAlignment="0"/>
    <xf numFmtId="0" fontId="62" fillId="0" borderId="0">
      <alignment horizontal="left" indent="3"/>
    </xf>
    <xf numFmtId="0" fontId="63" fillId="0" borderId="0" applyFill="0">
      <alignment horizontal="left" indent="3"/>
    </xf>
    <xf numFmtId="4" fontId="24" fillId="0" borderId="0" applyFill="0"/>
    <xf numFmtId="0" fontId="12" fillId="0" borderId="0" applyNumberFormat="0" applyFont="0" applyBorder="0" applyAlignment="0"/>
    <xf numFmtId="0" fontId="16" fillId="0" borderId="0">
      <alignment horizontal="left" indent="4"/>
    </xf>
    <xf numFmtId="0" fontId="12" fillId="0" borderId="0" applyFill="0">
      <alignment horizontal="left" indent="4"/>
    </xf>
    <xf numFmtId="4" fontId="43" fillId="0" borderId="0" applyFill="0"/>
    <xf numFmtId="0" fontId="12" fillId="0" borderId="0" applyNumberFormat="0" applyFont="0" applyBorder="0" applyAlignment="0"/>
    <xf numFmtId="0" fontId="44" fillId="0" borderId="0">
      <alignment horizontal="left" indent="5"/>
    </xf>
    <xf numFmtId="0" fontId="45" fillId="0" borderId="0" applyFill="0">
      <alignment horizontal="left" indent="5"/>
    </xf>
    <xf numFmtId="4" fontId="46" fillId="0" borderId="0" applyFill="0"/>
    <xf numFmtId="0" fontId="12" fillId="0" borderId="0" applyNumberFormat="0" applyFont="0" applyFill="0" applyBorder="0" applyAlignment="0"/>
    <xf numFmtId="0" fontId="47" fillId="0" borderId="0" applyFill="0">
      <alignment horizontal="left" indent="6"/>
    </xf>
    <xf numFmtId="0" fontId="43" fillId="0" borderId="0" applyFill="0">
      <alignment horizontal="left" indent="6"/>
    </xf>
    <xf numFmtId="0" fontId="64" fillId="0" borderId="0" applyNumberFormat="0" applyFill="0" applyBorder="0" applyAlignment="0" applyProtection="0"/>
    <xf numFmtId="0" fontId="64" fillId="0" borderId="0" applyNumberForma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172" fontId="3" fillId="0" borderId="0" applyProtection="0"/>
    <xf numFmtId="172" fontId="3" fillId="0" borderId="0" applyProtection="0"/>
    <xf numFmtId="43" fontId="3" fillId="0" borderId="0" applyFont="0" applyFill="0" applyBorder="0" applyAlignment="0" applyProtection="0"/>
    <xf numFmtId="9" fontId="3"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 fillId="0" borderId="0" applyFont="0" applyFill="0" applyBorder="0" applyAlignment="0" applyProtection="0"/>
    <xf numFmtId="0" fontId="2" fillId="0" borderId="0"/>
  </cellStyleXfs>
  <cellXfs count="1661">
    <xf numFmtId="0" fontId="0" fillId="0" borderId="0" xfId="0"/>
    <xf numFmtId="0" fontId="0" fillId="0" borderId="0" xfId="0" applyAlignment="1">
      <alignment horizontal="center"/>
    </xf>
    <xf numFmtId="0" fontId="5" fillId="0" borderId="0" xfId="0" applyFont="1"/>
    <xf numFmtId="0" fontId="0" fillId="0" borderId="0" xfId="0" applyAlignment="1"/>
    <xf numFmtId="3" fontId="5" fillId="0" borderId="0" xfId="0" applyNumberFormat="1" applyFont="1" applyAlignment="1">
      <alignment horizontal="center"/>
    </xf>
    <xf numFmtId="0" fontId="12" fillId="0" borderId="0" xfId="0" applyFont="1" applyFill="1"/>
    <xf numFmtId="0" fontId="12" fillId="0" borderId="0" xfId="0" applyFont="1"/>
    <xf numFmtId="0" fontId="12" fillId="0" borderId="0" xfId="0" applyFont="1" applyFill="1" applyBorder="1"/>
    <xf numFmtId="0" fontId="9" fillId="0" borderId="0" xfId="281" applyFont="1" applyFill="1" applyAlignment="1">
      <alignment horizontal="center"/>
    </xf>
    <xf numFmtId="0" fontId="15" fillId="0" borderId="0" xfId="281" applyFont="1" applyFill="1"/>
    <xf numFmtId="9" fontId="9" fillId="0" borderId="0" xfId="281" quotePrefix="1" applyNumberFormat="1" applyFont="1" applyFill="1" applyAlignment="1">
      <alignment horizontal="center"/>
    </xf>
    <xf numFmtId="0" fontId="17" fillId="0" borderId="0" xfId="281" applyFont="1" applyAlignment="1">
      <alignment horizontal="right"/>
    </xf>
    <xf numFmtId="0" fontId="17" fillId="0" borderId="0" xfId="281" applyFont="1" applyAlignment="1">
      <alignment horizontal="center"/>
    </xf>
    <xf numFmtId="0" fontId="17" fillId="0" borderId="0" xfId="281" applyFont="1" applyFill="1" applyAlignment="1">
      <alignment horizontal="center"/>
    </xf>
    <xf numFmtId="9" fontId="9" fillId="0" borderId="0" xfId="281" applyNumberFormat="1" applyFont="1" applyFill="1" applyAlignment="1">
      <alignment horizontal="center"/>
    </xf>
    <xf numFmtId="0" fontId="18" fillId="0" borderId="0" xfId="0" applyFont="1" applyAlignment="1">
      <alignment horizontal="right"/>
    </xf>
    <xf numFmtId="0" fontId="0" fillId="0" borderId="0" xfId="0" applyBorder="1"/>
    <xf numFmtId="0" fontId="5" fillId="0" borderId="0" xfId="0" applyFont="1" applyFill="1" applyAlignment="1"/>
    <xf numFmtId="0" fontId="0" fillId="0" borderId="0" xfId="0" applyAlignment="1">
      <alignment wrapText="1"/>
    </xf>
    <xf numFmtId="0" fontId="4" fillId="0" borderId="0" xfId="0" applyFont="1"/>
    <xf numFmtId="0" fontId="5" fillId="0" borderId="0" xfId="0" applyFont="1" applyFill="1"/>
    <xf numFmtId="0" fontId="0" fillId="0" borderId="0" xfId="0" applyFill="1"/>
    <xf numFmtId="0" fontId="0" fillId="0" borderId="0" xfId="0" applyFont="1" applyFill="1" applyAlignment="1">
      <alignment horizontal="center"/>
    </xf>
    <xf numFmtId="0" fontId="15" fillId="0" borderId="0" xfId="0" applyFont="1" applyFill="1"/>
    <xf numFmtId="0" fontId="18" fillId="0" borderId="0" xfId="0" applyFont="1"/>
    <xf numFmtId="0" fontId="4" fillId="0" borderId="0" xfId="0" applyFont="1" applyAlignment="1">
      <alignment wrapText="1"/>
    </xf>
    <xf numFmtId="0" fontId="12" fillId="0" borderId="0" xfId="281" applyFont="1" applyFill="1"/>
    <xf numFmtId="41" fontId="12" fillId="0" borderId="0" xfId="281" applyNumberFormat="1" applyFont="1" applyFill="1"/>
    <xf numFmtId="0" fontId="15" fillId="0" borderId="0" xfId="281" applyFont="1" applyFill="1" applyAlignment="1">
      <alignment horizontal="left"/>
    </xf>
    <xf numFmtId="3" fontId="12" fillId="0" borderId="0" xfId="0" applyNumberFormat="1" applyFont="1" applyFill="1"/>
    <xf numFmtId="0" fontId="5" fillId="0" borderId="0" xfId="281" applyFont="1" applyFill="1" applyAlignment="1">
      <alignment horizontal="right"/>
    </xf>
    <xf numFmtId="40" fontId="12" fillId="0" borderId="0" xfId="0" applyNumberFormat="1" applyFont="1" applyFill="1"/>
    <xf numFmtId="0" fontId="12" fillId="0" borderId="0" xfId="281" applyFont="1"/>
    <xf numFmtId="0" fontId="5" fillId="0" borderId="0" xfId="281" applyFont="1" applyFill="1"/>
    <xf numFmtId="0" fontId="9" fillId="0" borderId="0" xfId="281" applyFont="1" applyFill="1" applyBorder="1" applyAlignment="1">
      <alignment horizontal="left"/>
    </xf>
    <xf numFmtId="0" fontId="9" fillId="0" borderId="0" xfId="281" applyFont="1" applyFill="1" applyBorder="1"/>
    <xf numFmtId="0" fontId="12" fillId="0" borderId="0" xfId="281" applyFont="1" applyAlignment="1">
      <alignment horizontal="left"/>
    </xf>
    <xf numFmtId="0" fontId="6" fillId="0" borderId="0" xfId="281" applyFont="1" applyFill="1" applyAlignment="1">
      <alignment horizontal="center"/>
    </xf>
    <xf numFmtId="37" fontId="5" fillId="0" borderId="0" xfId="0" applyNumberFormat="1" applyFont="1" applyFill="1" applyAlignment="1"/>
    <xf numFmtId="0" fontId="26" fillId="0" borderId="0" xfId="0" applyFont="1" applyFill="1"/>
    <xf numFmtId="0" fontId="5" fillId="0" borderId="0" xfId="0" applyFont="1" applyAlignment="1">
      <alignment horizontal="center"/>
    </xf>
    <xf numFmtId="37" fontId="5" fillId="0" borderId="0" xfId="0" applyNumberFormat="1" applyFont="1" applyFill="1" applyAlignment="1">
      <alignment horizontal="center"/>
    </xf>
    <xf numFmtId="10" fontId="5" fillId="0" borderId="0" xfId="0" applyNumberFormat="1" applyFont="1" applyFill="1" applyBorder="1" applyAlignment="1"/>
    <xf numFmtId="176" fontId="5" fillId="0" borderId="0" xfId="0" applyNumberFormat="1" applyFont="1" applyFill="1"/>
    <xf numFmtId="3" fontId="19" fillId="0" borderId="0" xfId="0" applyNumberFormat="1" applyFont="1" applyFill="1" applyAlignment="1"/>
    <xf numFmtId="41" fontId="27" fillId="0" borderId="0" xfId="281" applyNumberFormat="1" applyFont="1" applyFill="1" applyBorder="1"/>
    <xf numFmtId="0" fontId="28" fillId="0" borderId="0" xfId="281" applyFont="1" applyFill="1" applyAlignment="1">
      <alignment horizontal="left"/>
    </xf>
    <xf numFmtId="0" fontId="26" fillId="0" borderId="0" xfId="281" applyFont="1" applyFill="1"/>
    <xf numFmtId="41" fontId="26" fillId="0" borderId="0" xfId="281" applyNumberFormat="1" applyFont="1" applyFill="1" applyBorder="1"/>
    <xf numFmtId="0" fontId="26" fillId="0" borderId="0" xfId="281" applyFont="1" applyFill="1" applyAlignment="1">
      <alignment horizontal="left"/>
    </xf>
    <xf numFmtId="0" fontId="29" fillId="0" borderId="0" xfId="281" applyFont="1" applyFill="1" applyBorder="1"/>
    <xf numFmtId="0" fontId="26" fillId="0" borderId="0" xfId="281" applyFont="1" applyFill="1" applyAlignment="1">
      <alignment horizontal="center"/>
    </xf>
    <xf numFmtId="0" fontId="10" fillId="0" borderId="0" xfId="281" applyFont="1" applyFill="1" applyAlignment="1">
      <alignment horizontal="center"/>
    </xf>
    <xf numFmtId="173" fontId="26" fillId="0" borderId="0" xfId="281" applyNumberFormat="1" applyFont="1" applyFill="1"/>
    <xf numFmtId="173" fontId="26" fillId="0" borderId="0" xfId="281" applyNumberFormat="1" applyFont="1" applyFill="1" applyBorder="1" applyAlignment="1">
      <alignment vertical="top"/>
    </xf>
    <xf numFmtId="41" fontId="26" fillId="0" borderId="13" xfId="281" applyNumberFormat="1" applyFont="1" applyFill="1" applyBorder="1"/>
    <xf numFmtId="173" fontId="6" fillId="0" borderId="0" xfId="86" applyNumberFormat="1" applyFont="1" applyFill="1" applyAlignment="1">
      <alignment horizontal="center"/>
    </xf>
    <xf numFmtId="0" fontId="5" fillId="0" borderId="0" xfId="281" applyFont="1" applyFill="1" applyAlignment="1">
      <alignment horizontal="center"/>
    </xf>
    <xf numFmtId="0" fontId="30" fillId="0" borderId="0" xfId="281" applyFont="1" applyFill="1" applyBorder="1"/>
    <xf numFmtId="0" fontId="10" fillId="0" borderId="0" xfId="281" applyFont="1" applyAlignment="1">
      <alignment horizontal="center"/>
    </xf>
    <xf numFmtId="41" fontId="5" fillId="0" borderId="13" xfId="281" applyNumberFormat="1" applyFont="1" applyFill="1" applyBorder="1"/>
    <xf numFmtId="38" fontId="12" fillId="0" borderId="0" xfId="0" applyNumberFormat="1" applyFont="1" applyFill="1" applyBorder="1" applyAlignment="1"/>
    <xf numFmtId="3" fontId="12" fillId="0" borderId="0" xfId="0" applyNumberFormat="1" applyFont="1"/>
    <xf numFmtId="40" fontId="12" fillId="0" borderId="0" xfId="0" applyNumberFormat="1" applyFont="1"/>
    <xf numFmtId="43" fontId="5" fillId="0" borderId="0" xfId="281" applyNumberFormat="1" applyFont="1" applyFill="1"/>
    <xf numFmtId="3" fontId="5" fillId="0" borderId="0" xfId="0" applyNumberFormat="1" applyFont="1" applyFill="1" applyAlignment="1"/>
    <xf numFmtId="41" fontId="27" fillId="25" borderId="0" xfId="281" applyNumberFormat="1" applyFont="1" applyFill="1" applyBorder="1"/>
    <xf numFmtId="0" fontId="7" fillId="0" borderId="0" xfId="236" applyFont="1" applyFill="1" applyBorder="1" applyAlignment="1">
      <alignment horizontal="left"/>
    </xf>
    <xf numFmtId="0" fontId="12" fillId="0" borderId="0" xfId="236" applyFont="1" applyBorder="1" applyAlignment="1"/>
    <xf numFmtId="0" fontId="12" fillId="0" borderId="0" xfId="236" applyFont="1" applyBorder="1" applyAlignment="1">
      <alignment horizontal="center"/>
    </xf>
    <xf numFmtId="0" fontId="12" fillId="0" borderId="0" xfId="236" applyFont="1" applyBorder="1"/>
    <xf numFmtId="0" fontId="12" fillId="0" borderId="0" xfId="236" applyNumberFormat="1" applyFont="1" applyFill="1" applyBorder="1" applyAlignment="1">
      <alignment horizontal="left"/>
    </xf>
    <xf numFmtId="0" fontId="9" fillId="0" borderId="0" xfId="236" applyNumberFormat="1" applyFont="1" applyFill="1" applyBorder="1" applyAlignment="1">
      <alignment horizontal="left"/>
    </xf>
    <xf numFmtId="0" fontId="12" fillId="0" borderId="0" xfId="236" applyFont="1" applyFill="1" applyBorder="1" applyAlignment="1">
      <alignment horizontal="center" wrapText="1"/>
    </xf>
    <xf numFmtId="3" fontId="12" fillId="0" borderId="0" xfId="236" applyNumberFormat="1" applyFont="1" applyFill="1" applyBorder="1" applyAlignment="1"/>
    <xf numFmtId="0" fontId="12" fillId="0" borderId="0" xfId="236" applyFont="1" applyFill="1" applyBorder="1" applyAlignment="1"/>
    <xf numFmtId="0" fontId="12" fillId="0" borderId="0" xfId="236" applyNumberFormat="1" applyFont="1" applyFill="1" applyBorder="1" applyAlignment="1">
      <alignment horizontal="center"/>
    </xf>
    <xf numFmtId="173" fontId="12" fillId="0" borderId="0" xfId="91" applyNumberFormat="1" applyFont="1" applyFill="1" applyBorder="1" applyAlignment="1">
      <alignment horizontal="right"/>
    </xf>
    <xf numFmtId="0" fontId="8" fillId="0" borderId="0" xfId="236" applyFont="1" applyFill="1" applyBorder="1" applyAlignment="1"/>
    <xf numFmtId="0" fontId="12" fillId="0" borderId="0" xfId="236" applyFont="1" applyFill="1" applyBorder="1"/>
    <xf numFmtId="0" fontId="9" fillId="0" borderId="0" xfId="236" applyFont="1" applyBorder="1" applyAlignment="1"/>
    <xf numFmtId="0" fontId="9" fillId="0" borderId="0" xfId="236" applyNumberFormat="1" applyFont="1" applyFill="1" applyBorder="1" applyAlignment="1">
      <alignment horizontal="center"/>
    </xf>
    <xf numFmtId="164" fontId="12" fillId="0" borderId="0" xfId="303" applyNumberFormat="1" applyFont="1" applyFill="1" applyBorder="1" applyAlignment="1"/>
    <xf numFmtId="173" fontId="12" fillId="0" borderId="0" xfId="91" applyNumberFormat="1" applyFont="1" applyFill="1" applyBorder="1" applyAlignment="1">
      <alignment horizontal="left"/>
    </xf>
    <xf numFmtId="0" fontId="12" fillId="0" borderId="0" xfId="236" applyFont="1" applyFill="1" applyBorder="1" applyAlignment="1">
      <alignment horizontal="center"/>
    </xf>
    <xf numFmtId="3" fontId="12" fillId="0" borderId="0" xfId="236" applyNumberFormat="1" applyFont="1" applyFill="1" applyBorder="1" applyAlignment="1">
      <alignment horizontal="right"/>
    </xf>
    <xf numFmtId="3" fontId="12" fillId="0" borderId="0" xfId="236" applyNumberFormat="1" applyFont="1" applyFill="1" applyBorder="1" applyAlignment="1">
      <alignment horizontal="center"/>
    </xf>
    <xf numFmtId="0" fontId="0" fillId="0" borderId="0" xfId="0" applyAlignment="1">
      <alignment horizontal="center" wrapText="1"/>
    </xf>
    <xf numFmtId="0" fontId="32" fillId="0" borderId="0" xfId="0" applyFont="1" applyFill="1"/>
    <xf numFmtId="0" fontId="19" fillId="0" borderId="0" xfId="281" applyFont="1" applyFill="1"/>
    <xf numFmtId="0" fontId="17" fillId="0" borderId="0" xfId="236" applyFont="1" applyFill="1" applyBorder="1" applyAlignment="1">
      <alignment horizontal="left"/>
    </xf>
    <xf numFmtId="0" fontId="9" fillId="0" borderId="0" xfId="236" applyFont="1" applyFill="1" applyBorder="1" applyAlignment="1">
      <alignment horizontal="left"/>
    </xf>
    <xf numFmtId="0" fontId="9" fillId="0" borderId="0" xfId="236" applyFont="1" applyFill="1" applyBorder="1" applyAlignment="1">
      <alignment horizontal="center"/>
    </xf>
    <xf numFmtId="173" fontId="12" fillId="0" borderId="14" xfId="91" applyNumberFormat="1" applyFont="1" applyFill="1" applyBorder="1" applyAlignment="1">
      <alignment horizontal="right"/>
    </xf>
    <xf numFmtId="0" fontId="9" fillId="0" borderId="0" xfId="236" applyFont="1" applyBorder="1" applyAlignment="1">
      <alignment horizontal="center"/>
    </xf>
    <xf numFmtId="0" fontId="12" fillId="0" borderId="0" xfId="281" applyFont="1" applyAlignment="1">
      <alignment horizontal="center"/>
    </xf>
    <xf numFmtId="0" fontId="5" fillId="0" borderId="0" xfId="236" applyFont="1" applyBorder="1" applyAlignment="1">
      <alignment horizontal="center"/>
    </xf>
    <xf numFmtId="49" fontId="5" fillId="0" borderId="0" xfId="281" applyNumberFormat="1" applyFont="1" applyAlignment="1">
      <alignment horizontal="center"/>
    </xf>
    <xf numFmtId="0" fontId="0" fillId="0" borderId="0" xfId="0" applyAlignment="1">
      <alignment horizontal="right"/>
    </xf>
    <xf numFmtId="0" fontId="9" fillId="0" borderId="0" xfId="236" applyFont="1" applyBorder="1"/>
    <xf numFmtId="3" fontId="10" fillId="0" borderId="0" xfId="0" applyNumberFormat="1" applyFont="1" applyFill="1" applyAlignment="1">
      <alignment horizontal="center"/>
    </xf>
    <xf numFmtId="173" fontId="2" fillId="0" borderId="0" xfId="86" applyNumberFormat="1"/>
    <xf numFmtId="0" fontId="4" fillId="0" borderId="0" xfId="0" applyFont="1" applyFill="1"/>
    <xf numFmtId="0" fontId="12" fillId="0" borderId="0" xfId="0" applyFont="1" applyBorder="1"/>
    <xf numFmtId="0" fontId="12" fillId="0" borderId="0" xfId="0" applyFont="1" applyAlignment="1">
      <alignment horizontal="center"/>
    </xf>
    <xf numFmtId="173" fontId="12" fillId="0" borderId="0" xfId="86" applyNumberFormat="1" applyFont="1"/>
    <xf numFmtId="10" fontId="12" fillId="0" borderId="0" xfId="0" applyNumberFormat="1" applyFont="1"/>
    <xf numFmtId="173" fontId="2" fillId="0" borderId="0" xfId="86" applyNumberFormat="1" applyFill="1"/>
    <xf numFmtId="10" fontId="0" fillId="0" borderId="0" xfId="0" applyNumberFormat="1"/>
    <xf numFmtId="184" fontId="18" fillId="0" borderId="0" xfId="290" applyNumberFormat="1" applyFont="1"/>
    <xf numFmtId="0" fontId="71" fillId="0" borderId="0" xfId="290" applyFont="1"/>
    <xf numFmtId="184" fontId="18" fillId="0" borderId="0" xfId="290" applyNumberFormat="1" applyFont="1" applyAlignment="1">
      <alignment horizontal="center"/>
    </xf>
    <xf numFmtId="0" fontId="12" fillId="0" borderId="0" xfId="290" applyFont="1"/>
    <xf numFmtId="0" fontId="18" fillId="0" borderId="0" xfId="290" applyFont="1"/>
    <xf numFmtId="0" fontId="18" fillId="0" borderId="0" xfId="290" applyNumberFormat="1" applyFont="1" applyAlignment="1">
      <alignment horizontal="center"/>
    </xf>
    <xf numFmtId="0" fontId="18" fillId="0" borderId="0" xfId="290" applyNumberFormat="1" applyFont="1"/>
    <xf numFmtId="0" fontId="18" fillId="0" borderId="0" xfId="290" applyNumberFormat="1" applyFont="1" applyBorder="1" applyAlignment="1">
      <alignment horizontal="center"/>
    </xf>
    <xf numFmtId="184" fontId="72" fillId="0" borderId="0" xfId="290" applyNumberFormat="1" applyFont="1"/>
    <xf numFmtId="0" fontId="73" fillId="0" borderId="0" xfId="290" applyFont="1"/>
    <xf numFmtId="173" fontId="71" fillId="0" borderId="0" xfId="290" applyNumberFormat="1" applyFont="1"/>
    <xf numFmtId="0" fontId="74" fillId="0" borderId="0" xfId="290" applyFont="1"/>
    <xf numFmtId="184" fontId="12" fillId="0" borderId="0" xfId="290" applyNumberFormat="1" applyFont="1"/>
    <xf numFmtId="0" fontId="75" fillId="0" borderId="0" xfId="288" applyFont="1" applyFill="1" applyAlignment="1">
      <alignment horizontal="center"/>
    </xf>
    <xf numFmtId="0" fontId="75" fillId="0" borderId="0" xfId="288" applyFont="1" applyFill="1" applyAlignment="1">
      <alignment horizontal="left" indent="2"/>
    </xf>
    <xf numFmtId="39" fontId="75" fillId="0" borderId="0" xfId="288" applyNumberFormat="1" applyFont="1" applyFill="1"/>
    <xf numFmtId="0" fontId="71" fillId="0" borderId="0" xfId="290" applyFont="1" applyFill="1"/>
    <xf numFmtId="0" fontId="12" fillId="0" borderId="0" xfId="290" applyNumberFormat="1" applyFont="1" applyAlignment="1">
      <alignment horizontal="center"/>
    </xf>
    <xf numFmtId="0" fontId="12" fillId="0" borderId="0" xfId="290" applyNumberFormat="1" applyFont="1"/>
    <xf numFmtId="43" fontId="71" fillId="0" borderId="0" xfId="86" applyFont="1"/>
    <xf numFmtId="173" fontId="76" fillId="0" borderId="0" xfId="290" applyNumberFormat="1" applyFont="1"/>
    <xf numFmtId="184" fontId="5" fillId="0" borderId="0" xfId="290" applyNumberFormat="1" applyFont="1"/>
    <xf numFmtId="43" fontId="76" fillId="0" borderId="0" xfId="86" applyFont="1"/>
    <xf numFmtId="43" fontId="5" fillId="0" borderId="0" xfId="86" applyFont="1"/>
    <xf numFmtId="173" fontId="76" fillId="0" borderId="0" xfId="86" applyNumberFormat="1" applyFont="1"/>
    <xf numFmtId="173" fontId="5" fillId="0" borderId="0" xfId="86" applyNumberFormat="1" applyFont="1"/>
    <xf numFmtId="173" fontId="71" fillId="0" borderId="14" xfId="86" applyNumberFormat="1" applyFont="1" applyBorder="1"/>
    <xf numFmtId="0" fontId="71" fillId="0" borderId="0" xfId="0" applyFont="1"/>
    <xf numFmtId="173" fontId="71" fillId="0" borderId="0" xfId="290" applyNumberFormat="1" applyFont="1" applyBorder="1"/>
    <xf numFmtId="10" fontId="5" fillId="0" borderId="14" xfId="0" applyNumberFormat="1" applyFont="1" applyFill="1" applyBorder="1" applyAlignment="1"/>
    <xf numFmtId="0" fontId="79" fillId="0" borderId="0" xfId="290" applyFont="1" applyAlignment="1">
      <alignment horizontal="center"/>
    </xf>
    <xf numFmtId="173" fontId="0" fillId="0" borderId="0" xfId="86" applyNumberFormat="1" applyFont="1" applyFill="1"/>
    <xf numFmtId="173" fontId="0" fillId="0" borderId="0" xfId="0" applyNumberFormat="1"/>
    <xf numFmtId="41" fontId="12" fillId="0" borderId="0" xfId="281" applyNumberFormat="1" applyFont="1"/>
    <xf numFmtId="173" fontId="12" fillId="0" borderId="0" xfId="86" applyNumberFormat="1" applyFont="1" applyFill="1"/>
    <xf numFmtId="0" fontId="9" fillId="0" borderId="0" xfId="281" applyFont="1" applyAlignment="1">
      <alignment horizontal="center" wrapText="1"/>
    </xf>
    <xf numFmtId="38" fontId="12" fillId="0" borderId="0" xfId="0" applyNumberFormat="1" applyFont="1" applyFill="1" applyBorder="1" applyAlignment="1">
      <alignment horizontal="center"/>
    </xf>
    <xf numFmtId="0" fontId="2" fillId="0" borderId="0" xfId="281" applyFill="1" applyAlignment="1">
      <alignment horizontal="left"/>
    </xf>
    <xf numFmtId="0" fontId="80" fillId="0" borderId="0" xfId="281" applyFont="1" applyFill="1" applyBorder="1" applyAlignment="1">
      <alignment horizontal="left"/>
    </xf>
    <xf numFmtId="0" fontId="2" fillId="0" borderId="0" xfId="281" applyFill="1"/>
    <xf numFmtId="0" fontId="80" fillId="0" borderId="0" xfId="281" applyFont="1" applyFill="1" applyBorder="1"/>
    <xf numFmtId="0" fontId="69" fillId="0" borderId="0" xfId="281" applyFont="1" applyFill="1" applyAlignment="1">
      <alignment horizontal="center"/>
    </xf>
    <xf numFmtId="38" fontId="12" fillId="0" borderId="15" xfId="0" applyNumberFormat="1" applyFont="1" applyFill="1" applyBorder="1"/>
    <xf numFmtId="38" fontId="12" fillId="0" borderId="0" xfId="0" applyNumberFormat="1" applyFont="1" applyFill="1" applyBorder="1"/>
    <xf numFmtId="0" fontId="81" fillId="0" borderId="0" xfId="236" applyNumberFormat="1" applyFont="1" applyFill="1" applyBorder="1" applyAlignment="1">
      <alignment horizontal="left"/>
    </xf>
    <xf numFmtId="38" fontId="12" fillId="0" borderId="0" xfId="236" applyNumberFormat="1" applyFont="1" applyFill="1" applyBorder="1" applyAlignment="1">
      <alignment horizontal="right"/>
    </xf>
    <xf numFmtId="0" fontId="12" fillId="0" borderId="0" xfId="236" applyNumberFormat="1" applyFont="1" applyFill="1" applyBorder="1" applyAlignment="1">
      <alignment horizontal="right"/>
    </xf>
    <xf numFmtId="38" fontId="12" fillId="0" borderId="0" xfId="0" applyNumberFormat="1" applyFont="1" applyBorder="1" applyAlignment="1">
      <alignment horizontal="right"/>
    </xf>
    <xf numFmtId="0" fontId="4" fillId="0" borderId="0" xfId="0" applyFont="1" applyAlignment="1">
      <alignment horizontal="center"/>
    </xf>
    <xf numFmtId="0" fontId="4" fillId="0" borderId="0" xfId="236" applyFont="1" applyBorder="1" applyAlignment="1">
      <alignment horizontal="center"/>
    </xf>
    <xf numFmtId="38" fontId="8" fillId="0" borderId="0" xfId="236" applyNumberFormat="1" applyFont="1" applyFill="1" applyBorder="1" applyAlignment="1"/>
    <xf numFmtId="173" fontId="8" fillId="0" borderId="14" xfId="86" applyNumberFormat="1" applyFont="1" applyFill="1" applyBorder="1" applyAlignment="1"/>
    <xf numFmtId="0" fontId="12" fillId="0" borderId="14" xfId="236" applyNumberFormat="1" applyFont="1" applyFill="1" applyBorder="1" applyAlignment="1">
      <alignment horizontal="left"/>
    </xf>
    <xf numFmtId="0" fontId="18" fillId="0" borderId="0" xfId="290" applyNumberFormat="1" applyFont="1" applyFill="1" applyAlignment="1">
      <alignment horizontal="center"/>
    </xf>
    <xf numFmtId="0" fontId="12" fillId="0" borderId="0" xfId="290" applyNumberFormat="1" applyFont="1" applyFill="1"/>
    <xf numFmtId="41" fontId="71" fillId="0" borderId="0" xfId="290" applyNumberFormat="1" applyFont="1" applyFill="1"/>
    <xf numFmtId="41" fontId="71" fillId="0" borderId="0" xfId="290" applyNumberFormat="1" applyFont="1" applyFill="1" applyBorder="1"/>
    <xf numFmtId="173" fontId="71" fillId="0" borderId="0" xfId="290" applyNumberFormat="1" applyFont="1" applyFill="1"/>
    <xf numFmtId="10" fontId="71" fillId="0" borderId="11" xfId="299" applyNumberFormat="1" applyFont="1" applyFill="1" applyBorder="1"/>
    <xf numFmtId="173" fontId="71" fillId="0" borderId="0" xfId="86" applyNumberFormat="1" applyFont="1" applyFill="1"/>
    <xf numFmtId="3" fontId="4" fillId="0" borderId="0" xfId="0" applyNumberFormat="1" applyFont="1" applyAlignment="1">
      <alignment horizontal="center"/>
    </xf>
    <xf numFmtId="10" fontId="12" fillId="0" borderId="0" xfId="299" applyNumberFormat="1" applyFont="1" applyAlignment="1">
      <alignment horizontal="right"/>
    </xf>
    <xf numFmtId="0" fontId="9" fillId="0" borderId="0" xfId="0" applyFont="1" applyAlignment="1">
      <alignment horizontal="center" wrapText="1"/>
    </xf>
    <xf numFmtId="0" fontId="9" fillId="0" borderId="0" xfId="0" applyFont="1" applyAlignment="1">
      <alignment wrapText="1"/>
    </xf>
    <xf numFmtId="10" fontId="8" fillId="0" borderId="0" xfId="299" applyNumberFormat="1" applyFont="1"/>
    <xf numFmtId="174" fontId="2" fillId="0" borderId="0" xfId="129" applyNumberFormat="1"/>
    <xf numFmtId="0" fontId="4" fillId="0" borderId="0" xfId="0" applyFont="1" applyAlignment="1">
      <alignment horizontal="right"/>
    </xf>
    <xf numFmtId="0" fontId="12" fillId="0" borderId="0" xfId="0" applyFont="1" applyAlignment="1">
      <alignment horizontal="centerContinuous"/>
    </xf>
    <xf numFmtId="0" fontId="17" fillId="0" borderId="0" xfId="0" applyFont="1" applyAlignment="1">
      <alignment horizontal="center"/>
    </xf>
    <xf numFmtId="0" fontId="9"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6" fontId="0" fillId="0" borderId="0" xfId="0" applyNumberFormat="1"/>
    <xf numFmtId="0" fontId="17" fillId="0" borderId="0" xfId="0" applyFont="1" applyAlignment="1">
      <alignment horizontal="left"/>
    </xf>
    <xf numFmtId="0" fontId="4" fillId="0" borderId="0" xfId="0" applyFont="1" applyAlignment="1">
      <alignment horizontal="left"/>
    </xf>
    <xf numFmtId="0" fontId="17"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5" fillId="0" borderId="0" xfId="281" applyFont="1"/>
    <xf numFmtId="0" fontId="2" fillId="0" borderId="0" xfId="281" applyAlignment="1">
      <alignment horizontal="left"/>
    </xf>
    <xf numFmtId="0" fontId="2" fillId="0" borderId="0" xfId="281"/>
    <xf numFmtId="0" fontId="15" fillId="0" borderId="0" xfId="281" applyFont="1" applyAlignment="1">
      <alignment horizontal="left"/>
    </xf>
    <xf numFmtId="173" fontId="12" fillId="0" borderId="0" xfId="236" applyNumberFormat="1" applyFont="1" applyFill="1" applyBorder="1"/>
    <xf numFmtId="0" fontId="12" fillId="25" borderId="0" xfId="236" applyNumberFormat="1" applyFont="1" applyFill="1" applyBorder="1" applyAlignment="1">
      <alignment horizontal="center"/>
    </xf>
    <xf numFmtId="0" fontId="9" fillId="25" borderId="0" xfId="236" applyNumberFormat="1" applyFont="1" applyFill="1" applyBorder="1" applyAlignment="1">
      <alignment horizontal="left"/>
    </xf>
    <xf numFmtId="0" fontId="8" fillId="25" borderId="0" xfId="236" applyFont="1" applyFill="1" applyBorder="1" applyAlignment="1"/>
    <xf numFmtId="0" fontId="12" fillId="25" borderId="0" xfId="236" applyNumberFormat="1" applyFont="1" applyFill="1" applyBorder="1" applyAlignment="1">
      <alignment horizontal="left"/>
    </xf>
    <xf numFmtId="0" fontId="12" fillId="25" borderId="0" xfId="236" applyFont="1" applyFill="1" applyBorder="1"/>
    <xf numFmtId="173" fontId="12" fillId="25" borderId="0" xfId="91" applyNumberFormat="1" applyFont="1" applyFill="1" applyBorder="1" applyAlignment="1">
      <alignment horizontal="right"/>
    </xf>
    <xf numFmtId="0" fontId="0" fillId="25" borderId="0" xfId="0" applyFill="1" applyBorder="1"/>
    <xf numFmtId="164" fontId="12" fillId="25" borderId="0" xfId="303" applyNumberFormat="1" applyFont="1" applyFill="1" applyBorder="1" applyAlignment="1"/>
    <xf numFmtId="173" fontId="12" fillId="25" borderId="0" xfId="91" applyNumberFormat="1" applyFont="1" applyFill="1" applyBorder="1" applyAlignment="1">
      <alignment horizontal="left"/>
    </xf>
    <xf numFmtId="0" fontId="15" fillId="0" borderId="0" xfId="281" applyFont="1" applyAlignment="1"/>
    <xf numFmtId="0" fontId="13" fillId="0" borderId="0" xfId="0" applyFont="1" applyBorder="1"/>
    <xf numFmtId="0" fontId="17" fillId="0" borderId="0" xfId="236" applyFont="1" applyFill="1" applyBorder="1" applyAlignment="1">
      <alignment horizontal="center"/>
    </xf>
    <xf numFmtId="0" fontId="13" fillId="0" borderId="0" xfId="236" applyNumberFormat="1" applyFont="1" applyFill="1" applyBorder="1" applyAlignment="1">
      <alignment horizontal="left"/>
    </xf>
    <xf numFmtId="173" fontId="13" fillId="0" borderId="0" xfId="91" applyNumberFormat="1" applyFont="1" applyFill="1" applyBorder="1" applyAlignment="1">
      <alignment horizontal="right"/>
    </xf>
    <xf numFmtId="0" fontId="14" fillId="0" borderId="0" xfId="281" applyFont="1" applyFill="1"/>
    <xf numFmtId="0" fontId="83" fillId="0" borderId="0" xfId="281" applyFont="1" applyFill="1"/>
    <xf numFmtId="9" fontId="10" fillId="0" borderId="0" xfId="281" quotePrefix="1" applyNumberFormat="1" applyFont="1" applyFill="1" applyAlignment="1">
      <alignment horizontal="center"/>
    </xf>
    <xf numFmtId="0" fontId="4" fillId="0" borderId="0" xfId="290" applyNumberFormat="1" applyFont="1" applyAlignment="1">
      <alignment horizontal="center"/>
    </xf>
    <xf numFmtId="0" fontId="4" fillId="0" borderId="0" xfId="290" applyNumberFormat="1" applyFont="1"/>
    <xf numFmtId="184" fontId="4" fillId="0" borderId="0" xfId="290" applyNumberFormat="1" applyFont="1" applyAlignment="1">
      <alignment horizontal="center"/>
    </xf>
    <xf numFmtId="0" fontId="9" fillId="0" borderId="0" xfId="290" applyFont="1"/>
    <xf numFmtId="0" fontId="4" fillId="0" borderId="11" xfId="290" applyNumberFormat="1" applyFont="1" applyBorder="1" applyAlignment="1">
      <alignment horizontal="center"/>
    </xf>
    <xf numFmtId="184" fontId="4" fillId="0" borderId="11" xfId="290" applyNumberFormat="1" applyFont="1" applyBorder="1" applyAlignment="1">
      <alignment horizontal="center"/>
    </xf>
    <xf numFmtId="0" fontId="74" fillId="0" borderId="11" xfId="290" applyFont="1" applyBorder="1" applyAlignment="1">
      <alignment horizontal="center"/>
    </xf>
    <xf numFmtId="0" fontId="9" fillId="0" borderId="0" xfId="290" applyFont="1" applyAlignment="1">
      <alignment horizontal="center"/>
    </xf>
    <xf numFmtId="0" fontId="84" fillId="0" borderId="0" xfId="290" applyFont="1" applyFill="1"/>
    <xf numFmtId="6" fontId="12" fillId="0" borderId="0" xfId="0" applyNumberFormat="1" applyFont="1" applyAlignment="1">
      <alignment horizontal="right"/>
    </xf>
    <xf numFmtId="174" fontId="0" fillId="0" borderId="0" xfId="129" applyNumberFormat="1" applyFont="1" applyAlignment="1">
      <alignment horizontal="center"/>
    </xf>
    <xf numFmtId="0" fontId="9" fillId="0" borderId="0" xfId="0" applyFont="1" applyAlignment="1">
      <alignment horizontal="left"/>
    </xf>
    <xf numFmtId="6" fontId="9" fillId="0" borderId="0" xfId="0" applyNumberFormat="1" applyFont="1" applyAlignment="1">
      <alignment horizontal="right"/>
    </xf>
    <xf numFmtId="173" fontId="86" fillId="0" borderId="0" xfId="86" applyNumberFormat="1" applyFont="1" applyFill="1"/>
    <xf numFmtId="173" fontId="71" fillId="0" borderId="0" xfId="86" applyNumberFormat="1" applyFont="1" applyFill="1" applyBorder="1"/>
    <xf numFmtId="9" fontId="71" fillId="0" borderId="0" xfId="299" applyFont="1" applyFill="1"/>
    <xf numFmtId="41" fontId="87" fillId="26" borderId="0" xfId="290" applyNumberFormat="1" applyFont="1" applyFill="1"/>
    <xf numFmtId="41" fontId="87" fillId="26" borderId="0" xfId="290" applyNumberFormat="1" applyFont="1" applyFill="1" applyBorder="1"/>
    <xf numFmtId="10" fontId="71" fillId="0" borderId="0" xfId="299" applyNumberFormat="1" applyFont="1" applyFill="1"/>
    <xf numFmtId="10" fontId="71" fillId="0" borderId="0" xfId="299" applyNumberFormat="1" applyFont="1" applyFill="1" applyBorder="1"/>
    <xf numFmtId="0" fontId="91" fillId="0" borderId="0" xfId="0" applyFont="1" applyBorder="1" applyAlignment="1">
      <alignment horizontal="center"/>
    </xf>
    <xf numFmtId="0" fontId="90" fillId="0" borderId="0" xfId="281" applyFont="1" applyFill="1" applyAlignment="1">
      <alignment horizontal="center"/>
    </xf>
    <xf numFmtId="173" fontId="12" fillId="0" borderId="0" xfId="290" applyNumberFormat="1" applyFont="1"/>
    <xf numFmtId="164" fontId="71" fillId="0" borderId="0" xfId="299" applyNumberFormat="1" applyFont="1" applyFill="1"/>
    <xf numFmtId="0" fontId="5" fillId="0" borderId="0" xfId="290" applyFont="1"/>
    <xf numFmtId="173" fontId="5" fillId="0" borderId="0" xfId="290" applyNumberFormat="1" applyFont="1"/>
    <xf numFmtId="164" fontId="0" fillId="0" borderId="0" xfId="299" applyNumberFormat="1" applyFont="1"/>
    <xf numFmtId="173" fontId="94" fillId="0" borderId="0" xfId="290" applyNumberFormat="1" applyFont="1" applyFill="1" applyBorder="1"/>
    <xf numFmtId="0" fontId="23" fillId="0" borderId="0" xfId="281" applyFont="1" applyFill="1" applyAlignment="1">
      <alignment horizontal="center"/>
    </xf>
    <xf numFmtId="37" fontId="12" fillId="0" borderId="15" xfId="0" applyNumberFormat="1" applyFont="1" applyFill="1" applyBorder="1"/>
    <xf numFmtId="37" fontId="12" fillId="0" borderId="0" xfId="236" applyNumberFormat="1" applyFont="1" applyFill="1" applyBorder="1" applyAlignment="1">
      <alignment horizontal="right"/>
    </xf>
    <xf numFmtId="37" fontId="8" fillId="0" borderId="0" xfId="236" applyNumberFormat="1" applyFont="1" applyFill="1" applyBorder="1" applyAlignment="1"/>
    <xf numFmtId="0" fontId="97" fillId="0" borderId="0" xfId="281" applyFont="1" applyFill="1" applyBorder="1"/>
    <xf numFmtId="0" fontId="12" fillId="0" borderId="0" xfId="0" applyFont="1" applyAlignment="1"/>
    <xf numFmtId="0" fontId="12" fillId="0" borderId="0" xfId="0" applyFont="1" applyAlignment="1">
      <alignment horizontal="center" wrapText="1"/>
    </xf>
    <xf numFmtId="0" fontId="32" fillId="0" borderId="0" xfId="0" applyFont="1" applyAlignment="1">
      <alignment wrapText="1"/>
    </xf>
    <xf numFmtId="0" fontId="32" fillId="0" borderId="0" xfId="0" applyFont="1"/>
    <xf numFmtId="0" fontId="32" fillId="0" borderId="0" xfId="0" applyFont="1" applyAlignment="1">
      <alignment horizontal="center" wrapText="1"/>
    </xf>
    <xf numFmtId="173" fontId="0" fillId="0" borderId="14" xfId="0" applyNumberFormat="1" applyBorder="1"/>
    <xf numFmtId="9" fontId="0" fillId="0" borderId="0" xfId="299" applyFont="1"/>
    <xf numFmtId="0" fontId="99" fillId="0" borderId="0" xfId="0" applyFont="1" applyAlignment="1">
      <alignment horizontal="center" wrapText="1"/>
    </xf>
    <xf numFmtId="0" fontId="18" fillId="0" borderId="0" xfId="288" applyFont="1" applyFill="1" applyAlignment="1">
      <alignment horizontal="center"/>
    </xf>
    <xf numFmtId="0" fontId="32" fillId="0" borderId="0" xfId="281" applyFont="1" applyFill="1" applyAlignment="1">
      <alignment horizontal="left"/>
    </xf>
    <xf numFmtId="0" fontId="32" fillId="0" borderId="0" xfId="281" applyFont="1" applyFill="1"/>
    <xf numFmtId="0" fontId="101" fillId="0" borderId="0" xfId="281" applyFont="1" applyFill="1" applyAlignment="1">
      <alignment horizontal="center"/>
    </xf>
    <xf numFmtId="0" fontId="102" fillId="0" borderId="0" xfId="281" applyFont="1" applyFill="1" applyBorder="1"/>
    <xf numFmtId="188" fontId="103" fillId="0" borderId="0" xfId="236" applyNumberFormat="1" applyFont="1" applyFill="1" applyBorder="1" applyAlignment="1">
      <alignment horizontal="center"/>
    </xf>
    <xf numFmtId="38" fontId="0" fillId="0" borderId="0" xfId="0" applyNumberFormat="1" applyBorder="1"/>
    <xf numFmtId="0" fontId="2" fillId="0" borderId="0" xfId="0" applyFont="1"/>
    <xf numFmtId="3" fontId="13" fillId="0" borderId="0" xfId="236" applyNumberFormat="1" applyFont="1" applyBorder="1" applyAlignment="1">
      <alignment horizontal="center"/>
    </xf>
    <xf numFmtId="0" fontId="104" fillId="0" borderId="0" xfId="290" applyFont="1" applyFill="1"/>
    <xf numFmtId="41" fontId="104" fillId="0" borderId="0" xfId="290" applyNumberFormat="1" applyFont="1" applyFill="1"/>
    <xf numFmtId="41" fontId="104" fillId="0" borderId="0" xfId="290" applyNumberFormat="1" applyFont="1" applyFill="1" applyBorder="1"/>
    <xf numFmtId="0" fontId="0" fillId="0" borderId="0" xfId="0" applyFill="1" applyAlignment="1"/>
    <xf numFmtId="0" fontId="12" fillId="0" borderId="0" xfId="0" applyFont="1" applyFill="1" applyAlignment="1">
      <alignment horizontal="centerContinuous"/>
    </xf>
    <xf numFmtId="43" fontId="5" fillId="0" borderId="0" xfId="86" applyFont="1" applyAlignment="1">
      <alignment horizontal="center"/>
    </xf>
    <xf numFmtId="43" fontId="5" fillId="0" borderId="0" xfId="86" applyFont="1" applyBorder="1" applyAlignment="1">
      <alignment horizontal="center"/>
    </xf>
    <xf numFmtId="43" fontId="4" fillId="0" borderId="0" xfId="86" applyFont="1" applyBorder="1" applyAlignment="1">
      <alignment horizontal="center"/>
    </xf>
    <xf numFmtId="43" fontId="4" fillId="0" borderId="0" xfId="86" applyFont="1" applyAlignment="1">
      <alignment horizontal="center"/>
    </xf>
    <xf numFmtId="43" fontId="15" fillId="0" borderId="0" xfId="86" applyFont="1"/>
    <xf numFmtId="0" fontId="6" fillId="0" borderId="0" xfId="281" applyFont="1" applyFill="1" applyBorder="1" applyAlignment="1">
      <alignment horizontal="center"/>
    </xf>
    <xf numFmtId="0" fontId="5" fillId="0" borderId="0" xfId="0" applyFont="1" applyBorder="1" applyAlignment="1">
      <alignment horizontal="center"/>
    </xf>
    <xf numFmtId="0" fontId="4" fillId="0" borderId="0" xfId="290" applyNumberFormat="1" applyFont="1" applyBorder="1" applyAlignment="1">
      <alignment horizontal="center"/>
    </xf>
    <xf numFmtId="0" fontId="12" fillId="0" borderId="0" xfId="290" applyFont="1" applyBorder="1"/>
    <xf numFmtId="0" fontId="4" fillId="0" borderId="11" xfId="290" applyNumberFormat="1" applyFont="1" applyBorder="1"/>
    <xf numFmtId="184" fontId="4" fillId="0" borderId="0" xfId="290" applyNumberFormat="1" applyFont="1" applyBorder="1" applyAlignment="1">
      <alignment horizontal="center"/>
    </xf>
    <xf numFmtId="0" fontId="12" fillId="0" borderId="0" xfId="290" applyFont="1" applyFill="1"/>
    <xf numFmtId="0" fontId="71" fillId="0" borderId="0" xfId="290" applyFont="1" applyAlignment="1">
      <alignment horizontal="center"/>
    </xf>
    <xf numFmtId="173" fontId="78" fillId="0" borderId="0" xfId="290" applyNumberFormat="1" applyFont="1" applyFill="1" applyBorder="1"/>
    <xf numFmtId="0" fontId="18" fillId="0" borderId="0" xfId="290" applyFont="1" applyFill="1"/>
    <xf numFmtId="3" fontId="78" fillId="0" borderId="0" xfId="290" applyNumberFormat="1" applyFont="1" applyFill="1" applyBorder="1"/>
    <xf numFmtId="173" fontId="78" fillId="0" borderId="0" xfId="290" applyNumberFormat="1" applyFont="1" applyFill="1"/>
    <xf numFmtId="0" fontId="0" fillId="0" borderId="0" xfId="0" applyBorder="1" applyAlignment="1">
      <alignment horizontal="center"/>
    </xf>
    <xf numFmtId="0" fontId="71" fillId="0" borderId="0" xfId="290" applyFont="1" applyFill="1" applyBorder="1"/>
    <xf numFmtId="173" fontId="71" fillId="0" borderId="0" xfId="290" applyNumberFormat="1" applyFont="1" applyFill="1" applyBorder="1"/>
    <xf numFmtId="0" fontId="22" fillId="0" borderId="0" xfId="281" applyFont="1" applyFill="1" applyBorder="1"/>
    <xf numFmtId="38" fontId="26" fillId="0" borderId="13" xfId="281" applyNumberFormat="1" applyFont="1" applyFill="1" applyBorder="1" applyAlignment="1">
      <alignment horizontal="right"/>
    </xf>
    <xf numFmtId="0" fontId="32" fillId="0" borderId="0" xfId="281" applyFont="1" applyAlignment="1">
      <alignment horizontal="center"/>
    </xf>
    <xf numFmtId="0" fontId="75" fillId="0" borderId="0" xfId="290" applyNumberFormat="1" applyFont="1" applyFill="1"/>
    <xf numFmtId="173" fontId="120" fillId="0" borderId="0" xfId="0" applyNumberFormat="1" applyFont="1"/>
    <xf numFmtId="0" fontId="107" fillId="0" borderId="0" xfId="236" applyFont="1" applyFill="1" applyBorder="1" applyAlignment="1">
      <alignment horizontal="center"/>
    </xf>
    <xf numFmtId="0" fontId="99" fillId="0" borderId="0" xfId="236" applyFont="1" applyFill="1" applyBorder="1" applyAlignment="1">
      <alignment horizontal="left"/>
    </xf>
    <xf numFmtId="0" fontId="32" fillId="0" borderId="0" xfId="236" applyNumberFormat="1" applyFont="1" applyFill="1" applyBorder="1" applyAlignment="1">
      <alignment horizontal="center"/>
    </xf>
    <xf numFmtId="0" fontId="32" fillId="0" borderId="0" xfId="236" applyNumberFormat="1" applyFont="1" applyFill="1" applyBorder="1" applyAlignment="1">
      <alignment horizontal="left"/>
    </xf>
    <xf numFmtId="0" fontId="32" fillId="0" borderId="0" xfId="236" applyFont="1" applyFill="1" applyBorder="1" applyAlignment="1"/>
    <xf numFmtId="0" fontId="32" fillId="0" borderId="0" xfId="236" applyFont="1" applyFill="1" applyBorder="1" applyAlignment="1">
      <alignment horizontal="center"/>
    </xf>
    <xf numFmtId="0" fontId="32" fillId="0" borderId="0" xfId="236" applyFont="1" applyBorder="1"/>
    <xf numFmtId="0" fontId="32" fillId="0" borderId="0" xfId="236" applyFont="1" applyFill="1" applyBorder="1"/>
    <xf numFmtId="3" fontId="32" fillId="0" borderId="0" xfId="236" applyNumberFormat="1" applyFont="1" applyFill="1" applyBorder="1" applyAlignment="1"/>
    <xf numFmtId="0" fontId="107" fillId="0" borderId="0" xfId="236" applyFont="1" applyFill="1" applyBorder="1"/>
    <xf numFmtId="38" fontId="12" fillId="0" borderId="0" xfId="0" applyNumberFormat="1" applyFont="1" applyBorder="1"/>
    <xf numFmtId="0" fontId="32" fillId="0" borderId="0" xfId="281" applyFont="1" applyFill="1" applyBorder="1"/>
    <xf numFmtId="0" fontId="119" fillId="0" borderId="0" xfId="281" applyFont="1" applyFill="1" applyAlignment="1">
      <alignment horizontal="center"/>
    </xf>
    <xf numFmtId="0" fontId="12" fillId="0" borderId="0" xfId="281" applyFont="1" applyFill="1" applyBorder="1"/>
    <xf numFmtId="0" fontId="99" fillId="0" borderId="0" xfId="0" applyFont="1" applyAlignment="1">
      <alignment horizontal="center"/>
    </xf>
    <xf numFmtId="41" fontId="0" fillId="0" borderId="0" xfId="0" applyNumberFormat="1" applyFill="1"/>
    <xf numFmtId="37" fontId="121" fillId="0" borderId="13" xfId="0" applyNumberFormat="1" applyFont="1" applyBorder="1"/>
    <xf numFmtId="0" fontId="26" fillId="0" borderId="0" xfId="0" applyFont="1" applyFill="1" applyAlignment="1">
      <alignment horizontal="left"/>
    </xf>
    <xf numFmtId="0" fontId="26" fillId="0" borderId="0" xfId="0" applyFont="1" applyFill="1" applyBorder="1"/>
    <xf numFmtId="41" fontId="26" fillId="0" borderId="11" xfId="281" applyNumberFormat="1" applyFont="1" applyFill="1" applyBorder="1"/>
    <xf numFmtId="3" fontId="19" fillId="31" borderId="0" xfId="0" applyNumberFormat="1" applyFont="1" applyFill="1" applyAlignment="1"/>
    <xf numFmtId="3" fontId="19" fillId="31" borderId="0" xfId="0" applyNumberFormat="1" applyFont="1" applyFill="1" applyBorder="1" applyAlignment="1"/>
    <xf numFmtId="173" fontId="78" fillId="31" borderId="0" xfId="290" applyNumberFormat="1" applyFont="1" applyFill="1" applyBorder="1"/>
    <xf numFmtId="0" fontId="71" fillId="31" borderId="0" xfId="290" applyFont="1" applyFill="1" applyAlignment="1">
      <alignment horizontal="center"/>
    </xf>
    <xf numFmtId="174" fontId="0" fillId="0" borderId="0" xfId="129" applyNumberFormat="1" applyFont="1"/>
    <xf numFmtId="0" fontId="12" fillId="0" borderId="0" xfId="281" applyFont="1" applyFill="1" applyAlignment="1">
      <alignment horizontal="center"/>
    </xf>
    <xf numFmtId="3" fontId="32" fillId="31" borderId="0" xfId="236" applyNumberFormat="1" applyFont="1" applyFill="1" applyBorder="1" applyAlignment="1"/>
    <xf numFmtId="0" fontId="5" fillId="31" borderId="0" xfId="0" applyFont="1" applyFill="1"/>
    <xf numFmtId="10" fontId="12" fillId="0" borderId="0" xfId="299" applyNumberFormat="1" applyFont="1" applyFill="1"/>
    <xf numFmtId="174" fontId="0" fillId="0" borderId="0" xfId="0" applyNumberFormat="1" applyBorder="1"/>
    <xf numFmtId="6" fontId="12" fillId="0" borderId="0" xfId="0" applyNumberFormat="1" applyFont="1" applyBorder="1" applyAlignment="1">
      <alignment horizontal="right"/>
    </xf>
    <xf numFmtId="10" fontId="71" fillId="31" borderId="0" xfId="299" applyNumberFormat="1" applyFont="1" applyFill="1"/>
    <xf numFmtId="0" fontId="74" fillId="0" borderId="0" xfId="290" applyFont="1" applyFill="1"/>
    <xf numFmtId="41" fontId="71" fillId="31" borderId="0" xfId="290" applyNumberFormat="1" applyFont="1" applyFill="1"/>
    <xf numFmtId="0" fontId="71" fillId="31" borderId="0" xfId="290" applyFont="1" applyFill="1"/>
    <xf numFmtId="10" fontId="71" fillId="31" borderId="0" xfId="299" applyNumberFormat="1" applyFont="1" applyFill="1" applyBorder="1"/>
    <xf numFmtId="172" fontId="3" fillId="0" borderId="0" xfId="289" applyFont="1" applyAlignment="1" applyProtection="1"/>
    <xf numFmtId="172" fontId="5" fillId="0" borderId="0" xfId="289" applyFont="1" applyAlignment="1" applyProtection="1"/>
    <xf numFmtId="0" fontId="0" fillId="0" borderId="0" xfId="0" applyBorder="1" applyProtection="1"/>
    <xf numFmtId="0" fontId="6" fillId="0" borderId="0" xfId="289" applyNumberFormat="1" applyFont="1" applyBorder="1" applyAlignment="1" applyProtection="1">
      <alignment horizontal="left"/>
    </xf>
    <xf numFmtId="14" fontId="6" fillId="0" borderId="0" xfId="289" applyNumberFormat="1" applyFont="1" applyBorder="1" applyAlignment="1" applyProtection="1"/>
    <xf numFmtId="172" fontId="6" fillId="0" borderId="0" xfId="289" applyFont="1" applyFill="1" applyAlignment="1" applyProtection="1"/>
    <xf numFmtId="172" fontId="5" fillId="0" borderId="0" xfId="289" applyFont="1" applyFill="1" applyAlignment="1" applyProtection="1"/>
    <xf numFmtId="0" fontId="5" fillId="0" borderId="0" xfId="289" applyNumberFormat="1" applyFont="1" applyAlignment="1" applyProtection="1"/>
    <xf numFmtId="0" fontId="5" fillId="0" borderId="0" xfId="0" applyNumberFormat="1" applyFont="1" applyAlignment="1" applyProtection="1">
      <alignment horizontal="center"/>
    </xf>
    <xf numFmtId="0" fontId="5" fillId="0" borderId="0" xfId="0" applyFont="1" applyAlignment="1" applyProtection="1"/>
    <xf numFmtId="0" fontId="5" fillId="0" borderId="0" xfId="289" applyNumberFormat="1" applyFont="1" applyProtection="1"/>
    <xf numFmtId="0" fontId="5" fillId="0" borderId="0" xfId="289" applyNumberFormat="1" applyFont="1" applyAlignment="1" applyProtection="1">
      <alignment horizontal="right"/>
    </xf>
    <xf numFmtId="0" fontId="19" fillId="0" borderId="0" xfId="86" applyNumberFormat="1" applyFont="1" applyFill="1" applyAlignment="1" applyProtection="1"/>
    <xf numFmtId="3" fontId="5" fillId="0" borderId="0" xfId="289" applyNumberFormat="1" applyFont="1" applyAlignment="1" applyProtection="1"/>
    <xf numFmtId="3" fontId="5" fillId="0" borderId="0" xfId="0" applyNumberFormat="1" applyFont="1" applyAlignment="1" applyProtection="1">
      <alignment horizontal="center"/>
    </xf>
    <xf numFmtId="0" fontId="3" fillId="0" borderId="0" xfId="289" applyNumberFormat="1" applyFont="1" applyAlignment="1" applyProtection="1">
      <alignment horizontal="center"/>
    </xf>
    <xf numFmtId="0" fontId="5" fillId="0" borderId="0" xfId="289" applyNumberFormat="1" applyFont="1" applyAlignment="1" applyProtection="1">
      <alignment horizontal="center"/>
    </xf>
    <xf numFmtId="49" fontId="5" fillId="0" borderId="0" xfId="289" applyNumberFormat="1" applyFont="1" applyAlignment="1" applyProtection="1">
      <alignment horizontal="center"/>
    </xf>
    <xf numFmtId="0" fontId="0" fillId="0" borderId="0" xfId="0" applyProtection="1"/>
    <xf numFmtId="3" fontId="21" fillId="0" borderId="0" xfId="0" applyNumberFormat="1" applyFont="1" applyAlignment="1" applyProtection="1">
      <alignment horizontal="center"/>
    </xf>
    <xf numFmtId="49" fontId="5" fillId="0" borderId="0" xfId="289" applyNumberFormat="1" applyFont="1" applyProtection="1"/>
    <xf numFmtId="39" fontId="5" fillId="0" borderId="0" xfId="86" applyNumberFormat="1" applyFont="1" applyAlignment="1" applyProtection="1">
      <alignment horizontal="center"/>
    </xf>
    <xf numFmtId="0" fontId="3" fillId="0" borderId="6" xfId="289" applyNumberFormat="1" applyFont="1" applyBorder="1" applyAlignment="1" applyProtection="1">
      <alignment horizontal="center"/>
    </xf>
    <xf numFmtId="0" fontId="5" fillId="0" borderId="0" xfId="289" applyNumberFormat="1" applyFont="1" applyBorder="1" applyAlignment="1" applyProtection="1">
      <alignment horizontal="center"/>
    </xf>
    <xf numFmtId="0" fontId="5" fillId="0" borderId="6" xfId="289" applyNumberFormat="1" applyFont="1" applyBorder="1" applyAlignment="1" applyProtection="1">
      <alignment horizontal="center"/>
    </xf>
    <xf numFmtId="0" fontId="5" fillId="0" borderId="0" xfId="0" applyNumberFormat="1" applyFont="1" applyProtection="1"/>
    <xf numFmtId="0" fontId="5" fillId="0" borderId="0" xfId="289" applyNumberFormat="1" applyFont="1" applyFill="1" applyProtection="1"/>
    <xf numFmtId="3" fontId="5" fillId="0" borderId="0" xfId="289" applyNumberFormat="1" applyFont="1" applyProtection="1"/>
    <xf numFmtId="0" fontId="5" fillId="0" borderId="0" xfId="289" applyNumberFormat="1" applyFont="1" applyAlignment="1" applyProtection="1">
      <alignment horizontal="left"/>
    </xf>
    <xf numFmtId="170" fontId="5" fillId="0" borderId="0" xfId="289" applyNumberFormat="1" applyFont="1" applyProtection="1"/>
    <xf numFmtId="3" fontId="5" fillId="0" borderId="0" xfId="289" applyNumberFormat="1" applyFont="1" applyFill="1" applyAlignment="1" applyProtection="1">
      <alignment horizontal="left"/>
    </xf>
    <xf numFmtId="3" fontId="5" fillId="0" borderId="0" xfId="289" applyNumberFormat="1" applyFont="1" applyFill="1" applyAlignment="1" applyProtection="1"/>
    <xf numFmtId="0" fontId="5" fillId="0" borderId="6" xfId="289" applyNumberFormat="1" applyFont="1" applyBorder="1" applyAlignment="1" applyProtection="1">
      <alignment horizontal="centerContinuous"/>
    </xf>
    <xf numFmtId="0" fontId="5" fillId="0" borderId="0" xfId="0" applyNumberFormat="1" applyFont="1" applyAlignment="1" applyProtection="1"/>
    <xf numFmtId="41" fontId="5" fillId="0" borderId="0" xfId="289" applyNumberFormat="1" applyFont="1" applyFill="1" applyBorder="1" applyAlignment="1" applyProtection="1"/>
    <xf numFmtId="3" fontId="5" fillId="0" borderId="0" xfId="289" applyNumberFormat="1" applyFont="1" applyFill="1" applyAlignment="1" applyProtection="1">
      <alignment horizontal="center"/>
    </xf>
    <xf numFmtId="165" fontId="5" fillId="0" borderId="0" xfId="289" applyNumberFormat="1" applyFont="1" applyFill="1" applyAlignment="1" applyProtection="1">
      <alignment horizontal="right"/>
    </xf>
    <xf numFmtId="42" fontId="5" fillId="0" borderId="0" xfId="289" applyNumberFormat="1" applyFont="1" applyBorder="1" applyAlignment="1" applyProtection="1"/>
    <xf numFmtId="172" fontId="5" fillId="0" borderId="11" xfId="289" applyFont="1" applyBorder="1" applyAlignment="1" applyProtection="1"/>
    <xf numFmtId="172" fontId="5" fillId="0" borderId="0" xfId="289" applyFont="1" applyBorder="1" applyAlignment="1" applyProtection="1"/>
    <xf numFmtId="0" fontId="3" fillId="0" borderId="0" xfId="289" applyNumberFormat="1" applyFont="1" applyFill="1" applyAlignment="1" applyProtection="1">
      <alignment horizontal="center"/>
    </xf>
    <xf numFmtId="0" fontId="5" fillId="0" borderId="0" xfId="289" applyNumberFormat="1" applyFont="1" applyFill="1" applyAlignment="1" applyProtection="1">
      <alignment horizontal="center"/>
    </xf>
    <xf numFmtId="0" fontId="5" fillId="0" borderId="0" xfId="0" applyNumberFormat="1" applyFont="1" applyAlignment="1" applyProtection="1">
      <alignment wrapText="1"/>
    </xf>
    <xf numFmtId="3" fontId="5" fillId="0" borderId="0" xfId="289" applyNumberFormat="1" applyFont="1" applyAlignment="1" applyProtection="1">
      <alignment horizontal="left"/>
    </xf>
    <xf numFmtId="3" fontId="5" fillId="0" borderId="0" xfId="289" applyNumberFormat="1" applyFont="1" applyAlignment="1" applyProtection="1">
      <alignment horizontal="center"/>
    </xf>
    <xf numFmtId="174" fontId="5" fillId="0" borderId="14" xfId="289" applyNumberFormat="1" applyFont="1" applyBorder="1" applyAlignment="1" applyProtection="1"/>
    <xf numFmtId="42" fontId="5" fillId="0" borderId="0" xfId="289" applyNumberFormat="1" applyFont="1" applyAlignment="1" applyProtection="1"/>
    <xf numFmtId="172" fontId="77" fillId="0" borderId="0" xfId="289" applyFont="1" applyAlignment="1" applyProtection="1">
      <alignment horizontal="center" wrapText="1"/>
    </xf>
    <xf numFmtId="0" fontId="5" fillId="0" borderId="0" xfId="0" applyNumberFormat="1" applyFont="1" applyFill="1" applyAlignment="1" applyProtection="1"/>
    <xf numFmtId="41" fontId="5" fillId="0" borderId="0" xfId="289" applyNumberFormat="1" applyFont="1" applyFill="1" applyAlignment="1" applyProtection="1"/>
    <xf numFmtId="42" fontId="5" fillId="0" borderId="0" xfId="289" applyNumberFormat="1" applyFont="1" applyFill="1" applyAlignment="1" applyProtection="1"/>
    <xf numFmtId="43" fontId="5" fillId="0" borderId="0" xfId="86" applyFont="1" applyProtection="1"/>
    <xf numFmtId="0" fontId="5" fillId="0" borderId="0" xfId="289" applyNumberFormat="1" applyFont="1" applyFill="1" applyAlignment="1" applyProtection="1"/>
    <xf numFmtId="171" fontId="5" fillId="0" borderId="0" xfId="289" applyNumberFormat="1" applyFont="1" applyProtection="1"/>
    <xf numFmtId="10" fontId="5" fillId="0" borderId="0" xfId="289" applyNumberFormat="1" applyFont="1" applyAlignment="1" applyProtection="1"/>
    <xf numFmtId="10" fontId="5" fillId="0" borderId="0" xfId="289" applyNumberFormat="1" applyFont="1" applyProtection="1"/>
    <xf numFmtId="0" fontId="32" fillId="0" borderId="0" xfId="0" applyFont="1" applyProtection="1"/>
    <xf numFmtId="10" fontId="5" fillId="0" borderId="0" xfId="299" applyNumberFormat="1" applyFont="1" applyAlignment="1" applyProtection="1"/>
    <xf numFmtId="185" fontId="5" fillId="0" borderId="0" xfId="289" applyNumberFormat="1" applyFont="1" applyProtection="1"/>
    <xf numFmtId="0" fontId="5" fillId="0" borderId="0" xfId="0" applyNumberFormat="1" applyFont="1" applyFill="1" applyProtection="1"/>
    <xf numFmtId="43" fontId="5" fillId="0" borderId="0" xfId="86" applyFont="1" applyAlignment="1" applyProtection="1"/>
    <xf numFmtId="41" fontId="5" fillId="0" borderId="0" xfId="289" applyNumberFormat="1" applyFont="1" applyAlignment="1" applyProtection="1">
      <alignment horizontal="center"/>
    </xf>
    <xf numFmtId="41" fontId="5" fillId="0" borderId="14" xfId="289" applyNumberFormat="1" applyFont="1" applyBorder="1" applyAlignment="1" applyProtection="1">
      <alignment horizontal="center"/>
    </xf>
    <xf numFmtId="41" fontId="5" fillId="0" borderId="0" xfId="289" applyNumberFormat="1" applyFont="1" applyFill="1" applyAlignment="1" applyProtection="1">
      <alignment horizontal="right"/>
    </xf>
    <xf numFmtId="42" fontId="5" fillId="0" borderId="0" xfId="299" applyNumberFormat="1" applyFont="1" applyAlignment="1" applyProtection="1"/>
    <xf numFmtId="43" fontId="5" fillId="0" borderId="0" xfId="289" applyNumberFormat="1" applyFont="1" applyFill="1" applyAlignment="1" applyProtection="1">
      <alignment horizontal="right"/>
    </xf>
    <xf numFmtId="172" fontId="5" fillId="0" borderId="0" xfId="289" applyFont="1" applyFill="1" applyAlignment="1" applyProtection="1">
      <alignment horizontal="right"/>
    </xf>
    <xf numFmtId="0" fontId="32" fillId="0" borderId="0" xfId="0" applyFont="1" applyAlignment="1" applyProtection="1">
      <alignment horizontal="center"/>
    </xf>
    <xf numFmtId="49" fontId="5" fillId="0" borderId="0" xfId="289" applyNumberFormat="1" applyFont="1" applyAlignment="1" applyProtection="1">
      <alignment horizontal="left"/>
    </xf>
    <xf numFmtId="0" fontId="3" fillId="0" borderId="0" xfId="289" applyNumberFormat="1" applyFont="1" applyAlignment="1" applyProtection="1">
      <alignment horizontal="center" vertical="center"/>
    </xf>
    <xf numFmtId="3" fontId="6" fillId="0" borderId="0" xfId="289" applyNumberFormat="1" applyFont="1" applyAlignment="1" applyProtection="1">
      <alignment horizontal="center"/>
    </xf>
    <xf numFmtId="172" fontId="6" fillId="0" borderId="0" xfId="289" applyFont="1" applyAlignment="1" applyProtection="1">
      <alignment horizontal="center"/>
    </xf>
    <xf numFmtId="49" fontId="6" fillId="0" borderId="0" xfId="289" applyNumberFormat="1" applyFont="1" applyAlignment="1" applyProtection="1">
      <alignment horizontal="center"/>
    </xf>
    <xf numFmtId="0" fontId="10" fillId="0" borderId="0" xfId="289" applyNumberFormat="1" applyFont="1" applyAlignment="1" applyProtection="1">
      <alignment horizontal="center"/>
    </xf>
    <xf numFmtId="172" fontId="10" fillId="0" borderId="0" xfId="289" applyFont="1" applyBorder="1" applyAlignment="1" applyProtection="1">
      <alignment horizontal="center"/>
    </xf>
    <xf numFmtId="3" fontId="6" fillId="0" borderId="0" xfId="289" applyNumberFormat="1" applyFont="1" applyAlignment="1" applyProtection="1"/>
    <xf numFmtId="3" fontId="5" fillId="0" borderId="0" xfId="289" applyNumberFormat="1" applyFont="1" applyFill="1" applyBorder="1" applyAlignment="1" applyProtection="1">
      <alignment horizontal="center"/>
    </xf>
    <xf numFmtId="0" fontId="5" fillId="0" borderId="0" xfId="289" applyNumberFormat="1" applyFont="1" applyBorder="1" applyAlignment="1" applyProtection="1"/>
    <xf numFmtId="173" fontId="5" fillId="0" borderId="0" xfId="86" applyNumberFormat="1" applyFont="1" applyFill="1" applyAlignment="1" applyProtection="1"/>
    <xf numFmtId="0" fontId="5" fillId="0" borderId="0" xfId="289" applyNumberFormat="1" applyFont="1" applyBorder="1" applyAlignment="1" applyProtection="1">
      <alignment vertical="center"/>
    </xf>
    <xf numFmtId="3" fontId="5" fillId="0" borderId="0" xfId="289" applyNumberFormat="1" applyFont="1" applyFill="1" applyAlignment="1" applyProtection="1">
      <alignment vertical="center" wrapText="1"/>
    </xf>
    <xf numFmtId="3" fontId="5" fillId="0" borderId="0" xfId="289" applyNumberFormat="1" applyFont="1" applyFill="1" applyAlignment="1" applyProtection="1">
      <alignment horizontal="center" vertical="center"/>
    </xf>
    <xf numFmtId="3" fontId="5" fillId="0" borderId="0" xfId="289" applyNumberFormat="1" applyFont="1" applyFill="1" applyAlignment="1" applyProtection="1">
      <alignment vertical="center"/>
    </xf>
    <xf numFmtId="41" fontId="5" fillId="0" borderId="0" xfId="289" applyNumberFormat="1" applyFont="1" applyFill="1" applyAlignment="1" applyProtection="1">
      <alignment vertical="center"/>
    </xf>
    <xf numFmtId="0" fontId="5" fillId="0" borderId="0" xfId="289" applyNumberFormat="1" applyFont="1" applyFill="1" applyBorder="1" applyAlignment="1" applyProtection="1"/>
    <xf numFmtId="41" fontId="5" fillId="0" borderId="6" xfId="289" applyNumberFormat="1" applyFont="1" applyFill="1" applyBorder="1" applyAlignment="1" applyProtection="1"/>
    <xf numFmtId="0" fontId="32" fillId="0" borderId="0" xfId="0" applyFont="1" applyAlignment="1" applyProtection="1"/>
    <xf numFmtId="178" fontId="6" fillId="0" borderId="0" xfId="289" applyNumberFormat="1" applyFont="1" applyFill="1" applyAlignment="1" applyProtection="1">
      <alignment horizontal="right"/>
    </xf>
    <xf numFmtId="181" fontId="6" fillId="0" borderId="0" xfId="86" applyNumberFormat="1" applyFont="1" applyFill="1" applyAlignment="1" applyProtection="1"/>
    <xf numFmtId="178" fontId="5" fillId="0" borderId="0" xfId="289" applyNumberFormat="1" applyFont="1" applyFill="1" applyAlignment="1" applyProtection="1"/>
    <xf numFmtId="183" fontId="5" fillId="0" borderId="0" xfId="289" applyNumberFormat="1" applyFont="1" applyFill="1" applyAlignment="1" applyProtection="1"/>
    <xf numFmtId="182" fontId="5" fillId="0" borderId="0" xfId="289" applyNumberFormat="1" applyFont="1" applyFill="1" applyAlignment="1" applyProtection="1"/>
    <xf numFmtId="165" fontId="5" fillId="0" borderId="0" xfId="289" applyNumberFormat="1" applyFont="1" applyFill="1" applyAlignment="1" applyProtection="1"/>
    <xf numFmtId="0" fontId="5" fillId="0" borderId="0" xfId="289" applyNumberFormat="1" applyFont="1" applyFill="1" applyAlignment="1" applyProtection="1">
      <alignment horizontal="center" vertical="center"/>
    </xf>
    <xf numFmtId="164" fontId="5" fillId="0" borderId="0" xfId="289" applyNumberFormat="1" applyFont="1" applyFill="1" applyAlignment="1" applyProtection="1">
      <alignment horizontal="center"/>
    </xf>
    <xf numFmtId="177" fontId="5" fillId="0" borderId="0" xfId="86" applyNumberFormat="1" applyFont="1" applyFill="1" applyAlignment="1" applyProtection="1">
      <alignment horizontal="center"/>
    </xf>
    <xf numFmtId="41" fontId="5" fillId="0" borderId="0" xfId="289" applyNumberFormat="1" applyFont="1" applyAlignment="1" applyProtection="1"/>
    <xf numFmtId="165" fontId="5" fillId="0" borderId="0" xfId="289" applyNumberFormat="1" applyFont="1" applyAlignment="1" applyProtection="1"/>
    <xf numFmtId="3" fontId="6" fillId="0" borderId="0" xfId="289" applyNumberFormat="1" applyFont="1" applyFill="1" applyAlignment="1" applyProtection="1">
      <alignment horizontal="right"/>
    </xf>
    <xf numFmtId="181" fontId="5" fillId="0" borderId="0" xfId="86" applyNumberFormat="1" applyFont="1" applyFill="1" applyAlignment="1" applyProtection="1"/>
    <xf numFmtId="0" fontId="0" fillId="0" borderId="0" xfId="0" applyFill="1" applyProtection="1"/>
    <xf numFmtId="164" fontId="5" fillId="0" borderId="0" xfId="289" applyNumberFormat="1" applyFont="1" applyFill="1" applyAlignment="1" applyProtection="1">
      <alignment horizontal="left"/>
    </xf>
    <xf numFmtId="0" fontId="32" fillId="0" borderId="0" xfId="0" applyFont="1" applyFill="1" applyProtection="1"/>
    <xf numFmtId="10" fontId="5" fillId="0" borderId="0" xfId="299" applyNumberFormat="1" applyFont="1" applyFill="1" applyAlignment="1" applyProtection="1"/>
    <xf numFmtId="175" fontId="5" fillId="0" borderId="0" xfId="289" applyNumberFormat="1" applyFont="1" applyFill="1" applyAlignment="1" applyProtection="1"/>
    <xf numFmtId="41" fontId="5" fillId="0" borderId="0" xfId="289" applyNumberFormat="1" applyFont="1" applyAlignment="1" applyProtection="1">
      <alignment horizontal="center" vertical="center"/>
    </xf>
    <xf numFmtId="41" fontId="5" fillId="0" borderId="6" xfId="289" applyNumberFormat="1" applyFont="1" applyBorder="1" applyAlignment="1" applyProtection="1"/>
    <xf numFmtId="164" fontId="5" fillId="0" borderId="0" xfId="289" applyNumberFormat="1" applyFont="1" applyAlignment="1" applyProtection="1">
      <alignment horizontal="center"/>
    </xf>
    <xf numFmtId="0" fontId="89" fillId="0" borderId="0" xfId="289" applyNumberFormat="1" applyFont="1" applyAlignment="1" applyProtection="1">
      <alignment horizontal="center"/>
    </xf>
    <xf numFmtId="3" fontId="5" fillId="0" borderId="0" xfId="289" applyNumberFormat="1" applyFont="1" applyFill="1" applyAlignment="1" applyProtection="1">
      <alignment horizontal="right"/>
    </xf>
    <xf numFmtId="172" fontId="5" fillId="0" borderId="0" xfId="289" applyFont="1" applyAlignment="1" applyProtection="1">
      <alignment horizontal="center"/>
    </xf>
    <xf numFmtId="172" fontId="5" fillId="0" borderId="0" xfId="289" applyFont="1" applyFill="1" applyAlignment="1" applyProtection="1">
      <alignment horizontal="center"/>
    </xf>
    <xf numFmtId="0" fontId="0" fillId="0" borderId="0" xfId="0" applyAlignment="1" applyProtection="1">
      <alignment horizontal="center"/>
    </xf>
    <xf numFmtId="49" fontId="5" fillId="0" borderId="0" xfId="289" applyNumberFormat="1" applyFont="1" applyFill="1" applyAlignment="1" applyProtection="1">
      <alignment horizontal="center"/>
    </xf>
    <xf numFmtId="0" fontId="6" fillId="0" borderId="0" xfId="289" applyNumberFormat="1" applyFont="1" applyFill="1" applyAlignment="1" applyProtection="1">
      <alignment horizontal="center"/>
    </xf>
    <xf numFmtId="172" fontId="6" fillId="0" borderId="0" xfId="289" applyFont="1" applyAlignment="1" applyProtection="1"/>
    <xf numFmtId="0" fontId="6" fillId="0" borderId="0" xfId="289" applyNumberFormat="1" applyFont="1" applyAlignment="1" applyProtection="1">
      <alignment horizontal="center"/>
    </xf>
    <xf numFmtId="3" fontId="10" fillId="0" borderId="0" xfId="289" applyNumberFormat="1" applyFont="1" applyAlignment="1" applyProtection="1">
      <alignment horizontal="center"/>
    </xf>
    <xf numFmtId="3" fontId="6" fillId="0" borderId="0" xfId="289" applyNumberFormat="1" applyFont="1" applyFill="1" applyAlignment="1" applyProtection="1"/>
    <xf numFmtId="3" fontId="10" fillId="0" borderId="0" xfId="289" applyNumberFormat="1" applyFont="1" applyFill="1" applyAlignment="1" applyProtection="1"/>
    <xf numFmtId="3" fontId="10" fillId="0" borderId="0" xfId="289" applyNumberFormat="1" applyFont="1" applyAlignment="1" applyProtection="1"/>
    <xf numFmtId="0" fontId="32" fillId="0" borderId="0" xfId="0" applyFont="1" applyBorder="1" applyProtection="1"/>
    <xf numFmtId="43" fontId="12" fillId="0" borderId="0" xfId="86" applyNumberFormat="1" applyFont="1" applyAlignment="1" applyProtection="1"/>
    <xf numFmtId="3" fontId="98" fillId="0" borderId="0" xfId="289" applyNumberFormat="1" applyFont="1" applyFill="1" applyAlignment="1" applyProtection="1">
      <alignment horizontal="right"/>
    </xf>
    <xf numFmtId="41" fontId="5" fillId="0" borderId="0" xfId="289" applyNumberFormat="1" applyFont="1" applyBorder="1" applyAlignment="1" applyProtection="1"/>
    <xf numFmtId="3" fontId="5" fillId="0" borderId="0" xfId="289" applyNumberFormat="1" applyFont="1" applyAlignment="1" applyProtection="1">
      <alignment vertical="center" wrapText="1"/>
    </xf>
    <xf numFmtId="41" fontId="98" fillId="0" borderId="0" xfId="289" applyNumberFormat="1" applyFont="1" applyFill="1" applyAlignment="1" applyProtection="1">
      <alignment horizontal="right"/>
    </xf>
    <xf numFmtId="3" fontId="5" fillId="0" borderId="0" xfId="289" applyNumberFormat="1" applyFont="1" applyAlignment="1" applyProtection="1">
      <alignment horizontal="center" vertical="center"/>
    </xf>
    <xf numFmtId="3" fontId="5" fillId="0" borderId="0" xfId="289" applyNumberFormat="1" applyFont="1" applyAlignment="1" applyProtection="1">
      <alignment vertical="center"/>
    </xf>
    <xf numFmtId="41" fontId="5" fillId="0" borderId="0" xfId="289" applyNumberFormat="1" applyFont="1" applyAlignment="1" applyProtection="1">
      <alignment vertical="center"/>
    </xf>
    <xf numFmtId="43" fontId="5" fillId="0" borderId="0" xfId="299" applyNumberFormat="1" applyFont="1" applyFill="1" applyAlignment="1" applyProtection="1"/>
    <xf numFmtId="166" fontId="5" fillId="0" borderId="0" xfId="289" applyNumberFormat="1" applyFont="1" applyAlignment="1" applyProtection="1"/>
    <xf numFmtId="167" fontId="5" fillId="0" borderId="0" xfId="289" applyNumberFormat="1" applyFont="1" applyAlignment="1" applyProtection="1"/>
    <xf numFmtId="172" fontId="23" fillId="0" borderId="0" xfId="289" applyFont="1" applyAlignment="1" applyProtection="1"/>
    <xf numFmtId="164" fontId="5" fillId="0" borderId="0" xfId="289" applyNumberFormat="1" applyFont="1" applyBorder="1" applyAlignment="1" applyProtection="1">
      <alignment horizontal="left"/>
    </xf>
    <xf numFmtId="168" fontId="5" fillId="0" borderId="0" xfId="289" applyNumberFormat="1" applyFont="1" applyAlignment="1" applyProtection="1"/>
    <xf numFmtId="10" fontId="5" fillId="0" borderId="0" xfId="289" applyNumberFormat="1" applyFont="1" applyFill="1" applyAlignment="1" applyProtection="1">
      <alignment horizontal="right"/>
    </xf>
    <xf numFmtId="10" fontId="32" fillId="0" borderId="0" xfId="299" applyNumberFormat="1" applyFont="1" applyProtection="1"/>
    <xf numFmtId="3" fontId="23" fillId="0" borderId="0" xfId="289" applyNumberFormat="1" applyFont="1" applyAlignment="1" applyProtection="1"/>
    <xf numFmtId="167" fontId="5" fillId="0" borderId="0" xfId="289" applyNumberFormat="1" applyFont="1" applyFill="1" applyAlignment="1" applyProtection="1"/>
    <xf numFmtId="166" fontId="5" fillId="0" borderId="0" xfId="289" applyNumberFormat="1" applyFont="1" applyAlignment="1" applyProtection="1">
      <alignment horizontal="center"/>
    </xf>
    <xf numFmtId="186" fontId="23" fillId="0" borderId="0" xfId="289" applyNumberFormat="1" applyFont="1" applyAlignment="1" applyProtection="1">
      <alignment horizontal="center"/>
    </xf>
    <xf numFmtId="187" fontId="5" fillId="0" borderId="0" xfId="289" applyNumberFormat="1" applyFont="1" applyAlignment="1" applyProtection="1"/>
    <xf numFmtId="164" fontId="5" fillId="0" borderId="0" xfId="289" applyNumberFormat="1" applyFont="1" applyFill="1" applyBorder="1" applyAlignment="1" applyProtection="1">
      <alignment horizontal="left"/>
    </xf>
    <xf numFmtId="179" fontId="5" fillId="0" borderId="0" xfId="289" applyNumberFormat="1" applyFont="1" applyFill="1" applyAlignment="1" applyProtection="1">
      <alignment horizontal="right"/>
    </xf>
    <xf numFmtId="185" fontId="5" fillId="0" borderId="0" xfId="86" applyNumberFormat="1" applyFont="1" applyAlignment="1" applyProtection="1">
      <alignment horizontal="center"/>
    </xf>
    <xf numFmtId="41" fontId="23" fillId="0" borderId="0" xfId="289" applyNumberFormat="1" applyFont="1" applyAlignment="1" applyProtection="1"/>
    <xf numFmtId="43" fontId="23" fillId="0" borderId="0" xfId="86" applyFont="1" applyAlignment="1" applyProtection="1"/>
    <xf numFmtId="179" fontId="5" fillId="0" borderId="0" xfId="289" applyNumberFormat="1" applyFont="1" applyAlignment="1" applyProtection="1">
      <alignment horizontal="center"/>
    </xf>
    <xf numFmtId="10" fontId="5" fillId="0" borderId="0" xfId="289" applyNumberFormat="1" applyFont="1" applyFill="1" applyAlignment="1" applyProtection="1">
      <alignment horizontal="left"/>
    </xf>
    <xf numFmtId="186" fontId="5" fillId="0" borderId="0" xfId="289" applyNumberFormat="1" applyFont="1" applyAlignment="1" applyProtection="1">
      <alignment horizontal="center"/>
    </xf>
    <xf numFmtId="168" fontId="5" fillId="0" borderId="0" xfId="289" applyNumberFormat="1" applyFont="1" applyFill="1" applyAlignment="1" applyProtection="1">
      <alignment horizontal="left"/>
    </xf>
    <xf numFmtId="41" fontId="5" fillId="0" borderId="0" xfId="289" applyNumberFormat="1" applyFont="1" applyAlignment="1" applyProtection="1">
      <alignment horizontal="right"/>
    </xf>
    <xf numFmtId="41" fontId="5" fillId="0" borderId="11" xfId="289" applyNumberFormat="1" applyFont="1" applyBorder="1" applyAlignment="1" applyProtection="1"/>
    <xf numFmtId="179" fontId="5" fillId="0" borderId="0" xfId="289" applyNumberFormat="1" applyFont="1" applyAlignment="1" applyProtection="1"/>
    <xf numFmtId="172" fontId="23" fillId="0" borderId="0" xfId="289" applyFont="1" applyFill="1" applyAlignment="1" applyProtection="1"/>
    <xf numFmtId="164" fontId="5" fillId="0" borderId="0" xfId="289" applyNumberFormat="1" applyFont="1" applyFill="1" applyBorder="1" applyAlignment="1" applyProtection="1">
      <alignment horizontal="left" vertical="center"/>
    </xf>
    <xf numFmtId="41" fontId="5" fillId="0" borderId="0" xfId="289" applyNumberFormat="1" applyFont="1" applyFill="1" applyAlignment="1" applyProtection="1">
      <alignment horizontal="center" vertical="center"/>
    </xf>
    <xf numFmtId="180" fontId="5" fillId="0" borderId="0" xfId="289" applyNumberFormat="1" applyFont="1" applyAlignment="1" applyProtection="1"/>
    <xf numFmtId="173" fontId="5" fillId="0" borderId="14" xfId="86" applyNumberFormat="1" applyFont="1" applyBorder="1" applyAlignment="1" applyProtection="1"/>
    <xf numFmtId="0" fontId="5" fillId="0" borderId="0" xfId="289" applyNumberFormat="1" applyFont="1" applyFill="1" applyBorder="1" applyAlignment="1" applyProtection="1">
      <alignment horizontal="left"/>
    </xf>
    <xf numFmtId="0" fontId="6" fillId="0" borderId="0" xfId="289" applyNumberFormat="1" applyFont="1" applyAlignment="1" applyProtection="1"/>
    <xf numFmtId="0" fontId="5" fillId="0" borderId="0" xfId="0" applyFont="1" applyFill="1" applyAlignment="1" applyProtection="1">
      <alignment horizontal="left"/>
    </xf>
    <xf numFmtId="0" fontId="5" fillId="0" borderId="0" xfId="289" applyNumberFormat="1" applyFont="1" applyFill="1" applyBorder="1" applyProtection="1"/>
    <xf numFmtId="3" fontId="5" fillId="0" borderId="0" xfId="289" applyNumberFormat="1" applyFont="1" applyFill="1" applyBorder="1" applyAlignment="1" applyProtection="1"/>
    <xf numFmtId="172" fontId="5" fillId="0" borderId="0" xfId="289" applyFont="1" applyFill="1" applyBorder="1" applyAlignment="1" applyProtection="1"/>
    <xf numFmtId="172" fontId="5" fillId="0" borderId="0" xfId="289" applyFont="1" applyFill="1" applyBorder="1" applyAlignment="1" applyProtection="1">
      <alignment horizontal="center"/>
    </xf>
    <xf numFmtId="173" fontId="5" fillId="0" borderId="6" xfId="86" applyNumberFormat="1" applyFont="1" applyBorder="1" applyAlignment="1" applyProtection="1"/>
    <xf numFmtId="3" fontId="5" fillId="0" borderId="0" xfId="289" applyNumberFormat="1" applyFont="1" applyFill="1" applyBorder="1" applyAlignment="1" applyProtection="1">
      <alignment horizontal="left"/>
    </xf>
    <xf numFmtId="0" fontId="5" fillId="0" borderId="0" xfId="289" applyNumberFormat="1" applyFont="1" applyFill="1" applyBorder="1" applyAlignment="1" applyProtection="1">
      <alignment horizontal="center"/>
    </xf>
    <xf numFmtId="49" fontId="5" fillId="0" borderId="0" xfId="289" applyNumberFormat="1" applyFont="1" applyFill="1" applyBorder="1" applyProtection="1"/>
    <xf numFmtId="49" fontId="5" fillId="0" borderId="0" xfId="289" applyNumberFormat="1" applyFont="1" applyFill="1" applyBorder="1" applyAlignment="1" applyProtection="1"/>
    <xf numFmtId="49" fontId="5" fillId="0" borderId="0" xfId="289" applyNumberFormat="1" applyFont="1" applyFill="1" applyBorder="1" applyAlignment="1" applyProtection="1">
      <alignment horizontal="center"/>
    </xf>
    <xf numFmtId="3" fontId="6" fillId="0" borderId="0" xfId="289" applyNumberFormat="1" applyFont="1" applyFill="1" applyBorder="1" applyAlignment="1" applyProtection="1"/>
    <xf numFmtId="165" fontId="6" fillId="0" borderId="0" xfId="289" applyNumberFormat="1" applyFont="1" applyFill="1" applyBorder="1" applyAlignment="1" applyProtection="1">
      <alignment horizontal="right"/>
    </xf>
    <xf numFmtId="0" fontId="6" fillId="0" borderId="0" xfId="289" applyNumberFormat="1" applyFont="1" applyFill="1" applyAlignment="1" applyProtection="1"/>
    <xf numFmtId="3" fontId="5" fillId="0" borderId="0" xfId="289" applyNumberFormat="1" applyFont="1" applyFill="1" applyProtection="1"/>
    <xf numFmtId="3" fontId="5" fillId="0" borderId="0" xfId="289" applyNumberFormat="1" applyFont="1" applyFill="1" applyAlignment="1" applyProtection="1">
      <alignment horizontal="center" wrapText="1"/>
    </xf>
    <xf numFmtId="4" fontId="5" fillId="0" borderId="0" xfId="289" applyNumberFormat="1" applyFont="1" applyAlignment="1" applyProtection="1"/>
    <xf numFmtId="173" fontId="5" fillId="0" borderId="6" xfId="86" applyNumberFormat="1" applyFont="1" applyFill="1" applyBorder="1" applyAlignment="1" applyProtection="1"/>
    <xf numFmtId="3" fontId="6" fillId="0" borderId="0" xfId="289" applyNumberFormat="1" applyFont="1" applyFill="1" applyAlignment="1" applyProtection="1">
      <alignment horizontal="center"/>
    </xf>
    <xf numFmtId="172" fontId="6" fillId="0" borderId="0" xfId="289" applyFont="1" applyAlignment="1" applyProtection="1">
      <alignment horizontal="right"/>
    </xf>
    <xf numFmtId="165" fontId="6" fillId="0" borderId="0" xfId="289" applyNumberFormat="1" applyFont="1" applyAlignment="1" applyProtection="1"/>
    <xf numFmtId="166" fontId="6" fillId="0" borderId="0" xfId="289" applyNumberFormat="1" applyFont="1" applyFill="1" applyProtection="1"/>
    <xf numFmtId="3" fontId="5" fillId="0" borderId="6" xfId="289" applyNumberFormat="1" applyFont="1" applyFill="1" applyBorder="1" applyAlignment="1" applyProtection="1">
      <alignment horizontal="center"/>
    </xf>
    <xf numFmtId="0" fontId="14" fillId="0" borderId="0" xfId="289" applyNumberFormat="1" applyFont="1" applyFill="1" applyBorder="1" applyAlignment="1" applyProtection="1">
      <alignment horizontal="left"/>
    </xf>
    <xf numFmtId="0" fontId="5" fillId="0" borderId="0" xfId="289" applyNumberFormat="1" applyFont="1" applyFill="1" applyAlignment="1" applyProtection="1">
      <alignment horizontal="left"/>
    </xf>
    <xf numFmtId="3" fontId="23" fillId="0" borderId="0" xfId="289" applyNumberFormat="1" applyFont="1" applyFill="1" applyAlignment="1" applyProtection="1"/>
    <xf numFmtId="181" fontId="5" fillId="0" borderId="0" xfId="86" applyNumberFormat="1" applyFont="1" applyFill="1" applyAlignment="1" applyProtection="1">
      <alignment horizontal="center"/>
    </xf>
    <xf numFmtId="0" fontId="5" fillId="0" borderId="6" xfId="289" applyNumberFormat="1" applyFont="1" applyFill="1" applyBorder="1" applyAlignment="1" applyProtection="1">
      <alignment horizontal="center"/>
    </xf>
    <xf numFmtId="181" fontId="5" fillId="0" borderId="6" xfId="86" applyNumberFormat="1" applyFont="1" applyFill="1" applyBorder="1" applyAlignment="1" applyProtection="1">
      <alignment horizontal="center"/>
    </xf>
    <xf numFmtId="10" fontId="5" fillId="0" borderId="0" xfId="289" applyNumberFormat="1" applyFont="1" applyFill="1" applyAlignment="1" applyProtection="1"/>
    <xf numFmtId="185" fontId="5" fillId="0" borderId="0" xfId="86" applyNumberFormat="1" applyFont="1" applyFill="1" applyAlignment="1" applyProtection="1"/>
    <xf numFmtId="169" fontId="5" fillId="0" borderId="15" xfId="289" applyNumberFormat="1" applyFont="1" applyFill="1" applyBorder="1" applyAlignment="1" applyProtection="1"/>
    <xf numFmtId="3" fontId="5" fillId="0" borderId="0" xfId="289" quotePrefix="1" applyNumberFormat="1" applyFont="1" applyAlignment="1" applyProtection="1"/>
    <xf numFmtId="169" fontId="5" fillId="0" borderId="0" xfId="289" applyNumberFormat="1" applyFont="1" applyFill="1" applyBorder="1" applyAlignment="1" applyProtection="1"/>
    <xf numFmtId="169" fontId="5" fillId="0" borderId="6" xfId="289" applyNumberFormat="1" applyFont="1" applyFill="1" applyBorder="1" applyAlignment="1" applyProtection="1"/>
    <xf numFmtId="181" fontId="22" fillId="0" borderId="0" xfId="86" applyNumberFormat="1" applyFont="1" applyFill="1" applyProtection="1"/>
    <xf numFmtId="169" fontId="6" fillId="0" borderId="0" xfId="289" applyNumberFormat="1" applyFont="1" applyFill="1" applyAlignment="1" applyProtection="1"/>
    <xf numFmtId="3" fontId="6" fillId="0" borderId="0" xfId="289" quotePrefix="1" applyNumberFormat="1" applyFont="1" applyAlignment="1" applyProtection="1"/>
    <xf numFmtId="172" fontId="5" fillId="0" borderId="0" xfId="289" applyFont="1" applyAlignment="1" applyProtection="1">
      <alignment horizontal="right"/>
    </xf>
    <xf numFmtId="172" fontId="5" fillId="0" borderId="0" xfId="289" applyNumberFormat="1" applyFont="1" applyAlignment="1" applyProtection="1"/>
    <xf numFmtId="172" fontId="10" fillId="0" borderId="0" xfId="289" applyFont="1" applyAlignment="1" applyProtection="1">
      <alignment horizontal="center"/>
    </xf>
    <xf numFmtId="172" fontId="3" fillId="0" borderId="0" xfId="289" applyFont="1" applyFill="1" applyAlignment="1" applyProtection="1">
      <alignment horizontal="center"/>
    </xf>
    <xf numFmtId="172" fontId="3" fillId="0" borderId="0" xfId="289" applyFont="1" applyFill="1" applyAlignment="1" applyProtection="1"/>
    <xf numFmtId="10" fontId="5" fillId="0" borderId="0" xfId="289" applyNumberFormat="1" applyFont="1" applyFill="1" applyProtection="1"/>
    <xf numFmtId="0" fontId="5" fillId="0" borderId="0" xfId="0" applyFont="1" applyFill="1" applyProtection="1"/>
    <xf numFmtId="0" fontId="5" fillId="0" borderId="0" xfId="0" applyFont="1" applyProtection="1"/>
    <xf numFmtId="0" fontId="12" fillId="0" borderId="0" xfId="0" applyFont="1" applyAlignment="1" applyProtection="1"/>
    <xf numFmtId="0" fontId="26" fillId="0" borderId="0" xfId="289" applyNumberFormat="1" applyFont="1" applyFill="1" applyAlignment="1" applyProtection="1"/>
    <xf numFmtId="0" fontId="119" fillId="0" borderId="0" xfId="289" applyNumberFormat="1" applyFont="1" applyFill="1" applyAlignment="1" applyProtection="1"/>
    <xf numFmtId="0" fontId="26" fillId="0" borderId="0" xfId="289" applyNumberFormat="1" applyFont="1" applyFill="1" applyProtection="1"/>
    <xf numFmtId="172" fontId="26" fillId="0" borderId="0" xfId="289" applyFont="1" applyFill="1" applyAlignment="1" applyProtection="1"/>
    <xf numFmtId="0" fontId="26" fillId="0" borderId="0" xfId="0" applyFont="1" applyAlignment="1" applyProtection="1">
      <alignment vertical="top" wrapText="1"/>
    </xf>
    <xf numFmtId="172" fontId="26" fillId="0" borderId="0" xfId="289" applyFont="1" applyFill="1" applyAlignment="1" applyProtection="1">
      <alignment wrapText="1"/>
    </xf>
    <xf numFmtId="172" fontId="119" fillId="0" borderId="0" xfId="289" applyFont="1" applyFill="1" applyAlignment="1" applyProtection="1"/>
    <xf numFmtId="0" fontId="3" fillId="0" borderId="0" xfId="289" applyNumberFormat="1" applyFont="1" applyFill="1" applyProtection="1"/>
    <xf numFmtId="0" fontId="88" fillId="0" borderId="0" xfId="289" applyNumberFormat="1" applyFont="1" applyFill="1" applyAlignment="1" applyProtection="1">
      <alignment horizontal="center"/>
    </xf>
    <xf numFmtId="0" fontId="0" fillId="0" borderId="0" xfId="0" applyAlignment="1" applyProtection="1">
      <alignment wrapText="1"/>
    </xf>
    <xf numFmtId="0" fontId="5" fillId="0" borderId="0" xfId="0" applyFont="1" applyAlignment="1" applyProtection="1">
      <alignment horizontal="center"/>
    </xf>
    <xf numFmtId="0" fontId="5" fillId="0" borderId="0" xfId="236" applyFont="1" applyBorder="1" applyAlignment="1" applyProtection="1">
      <alignment horizontal="center"/>
    </xf>
    <xf numFmtId="49" fontId="5" fillId="0" borderId="0" xfId="281" applyNumberFormat="1" applyFont="1" applyAlignment="1" applyProtection="1">
      <alignment horizontal="center"/>
    </xf>
    <xf numFmtId="0" fontId="17" fillId="0" borderId="0" xfId="0" applyFont="1" applyFill="1" applyAlignment="1" applyProtection="1">
      <alignment horizontal="center"/>
    </xf>
    <xf numFmtId="0" fontId="9" fillId="0" borderId="0" xfId="0" applyFont="1" applyFill="1" applyAlignment="1" applyProtection="1">
      <alignment horizontal="center"/>
    </xf>
    <xf numFmtId="0" fontId="0" fillId="0" borderId="0" xfId="0" applyFill="1" applyAlignment="1" applyProtection="1">
      <alignment horizontal="center"/>
    </xf>
    <xf numFmtId="0" fontId="2" fillId="0" borderId="0" xfId="0" applyFont="1" applyFill="1" applyProtection="1"/>
    <xf numFmtId="0" fontId="2"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2" fillId="0" borderId="0" xfId="0" applyFont="1" applyProtection="1"/>
    <xf numFmtId="174" fontId="12" fillId="0" borderId="0" xfId="86" applyNumberFormat="1" applyFont="1" applyFill="1" applyProtection="1"/>
    <xf numFmtId="174" fontId="0" fillId="0" borderId="0" xfId="0" applyNumberFormat="1" applyProtection="1"/>
    <xf numFmtId="0" fontId="3" fillId="0" borderId="0" xfId="0" applyFont="1" applyProtection="1"/>
    <xf numFmtId="0" fontId="3" fillId="0" borderId="0" xfId="0" applyFont="1" applyAlignment="1" applyProtection="1"/>
    <xf numFmtId="3" fontId="4" fillId="0" borderId="0" xfId="0" applyNumberFormat="1" applyFont="1" applyAlignment="1" applyProtection="1">
      <alignment horizontal="center"/>
    </xf>
    <xf numFmtId="0" fontId="3" fillId="0" borderId="0" xfId="294" applyFont="1" applyProtection="1"/>
    <xf numFmtId="0" fontId="3" fillId="0" borderId="0" xfId="294" applyFont="1" applyAlignment="1" applyProtection="1">
      <alignment horizontal="right"/>
    </xf>
    <xf numFmtId="0" fontId="10" fillId="0" borderId="0" xfId="294" applyFont="1" applyAlignment="1" applyProtection="1">
      <alignment horizontal="center"/>
    </xf>
    <xf numFmtId="0" fontId="26" fillId="0" borderId="0" xfId="0" applyFont="1" applyProtection="1"/>
    <xf numFmtId="0" fontId="5" fillId="0" borderId="0" xfId="294" applyFont="1" applyProtection="1"/>
    <xf numFmtId="0" fontId="82" fillId="0" borderId="0" xfId="294" applyFont="1" applyProtection="1"/>
    <xf numFmtId="0" fontId="26" fillId="0" borderId="0" xfId="0" applyFont="1" applyAlignment="1" applyProtection="1">
      <alignment horizontal="center"/>
    </xf>
    <xf numFmtId="0" fontId="10" fillId="0" borderId="0" xfId="294" applyFont="1" applyBorder="1" applyAlignment="1" applyProtection="1">
      <alignment horizontal="center"/>
    </xf>
    <xf numFmtId="0" fontId="3" fillId="0" borderId="0" xfId="0" applyFont="1" applyFill="1" applyProtection="1"/>
    <xf numFmtId="0" fontId="3" fillId="0" borderId="0" xfId="0" applyFont="1" applyAlignment="1" applyProtection="1">
      <alignment horizontal="right"/>
    </xf>
    <xf numFmtId="0" fontId="6" fillId="0" borderId="0" xfId="294" applyFont="1" applyFill="1" applyProtection="1"/>
    <xf numFmtId="0" fontId="26" fillId="0" borderId="0" xfId="294" applyFont="1" applyAlignment="1" applyProtection="1">
      <alignment horizontal="center"/>
    </xf>
    <xf numFmtId="0" fontId="9" fillId="0" borderId="0" xfId="294" applyFont="1" applyFill="1" applyAlignment="1" applyProtection="1">
      <alignment horizontal="center"/>
    </xf>
    <xf numFmtId="0" fontId="9" fillId="0" borderId="0" xfId="294" applyFont="1" applyFill="1" applyProtection="1"/>
    <xf numFmtId="0" fontId="12" fillId="0" borderId="0" xfId="294" applyFont="1" applyProtection="1"/>
    <xf numFmtId="173" fontId="12" fillId="0" borderId="0" xfId="294" applyNumberFormat="1" applyFont="1" applyFill="1" applyProtection="1"/>
    <xf numFmtId="0" fontId="108" fillId="0" borderId="0" xfId="0" applyFont="1" applyFill="1" applyProtection="1"/>
    <xf numFmtId="0" fontId="12" fillId="0" borderId="0" xfId="0" applyFont="1" applyAlignment="1" applyProtection="1">
      <alignment horizontal="center"/>
    </xf>
    <xf numFmtId="0" fontId="108" fillId="0" borderId="0" xfId="0" applyFont="1" applyProtection="1"/>
    <xf numFmtId="0" fontId="99" fillId="0" borderId="0" xfId="294" applyFont="1" applyFill="1" applyAlignment="1" applyProtection="1">
      <alignment horizontal="center"/>
    </xf>
    <xf numFmtId="0" fontId="99" fillId="0" borderId="0" xfId="294" applyFont="1" applyFill="1" applyProtection="1"/>
    <xf numFmtId="0" fontId="107" fillId="0" borderId="0" xfId="0" applyFont="1" applyProtection="1"/>
    <xf numFmtId="0" fontId="107" fillId="0" borderId="0" xfId="294" applyFont="1" applyProtection="1"/>
    <xf numFmtId="172" fontId="12" fillId="0" borderId="0" xfId="294" applyNumberFormat="1" applyFont="1" applyFill="1" applyAlignment="1" applyProtection="1">
      <alignment horizontal="center"/>
    </xf>
    <xf numFmtId="0" fontId="12" fillId="0" borderId="0" xfId="294" applyFont="1" applyFill="1" applyProtection="1"/>
    <xf numFmtId="0" fontId="9" fillId="0" borderId="0" xfId="294" applyFont="1" applyProtection="1"/>
    <xf numFmtId="0" fontId="99" fillId="0" borderId="0" xfId="294" applyFont="1" applyProtection="1"/>
    <xf numFmtId="43" fontId="12" fillId="0" borderId="0" xfId="127" applyFont="1" applyFill="1" applyProtection="1"/>
    <xf numFmtId="43" fontId="107" fillId="0" borderId="0" xfId="127" applyFont="1" applyFill="1" applyProtection="1"/>
    <xf numFmtId="184" fontId="12" fillId="0" borderId="0" xfId="0" applyNumberFormat="1" applyFont="1" applyProtection="1"/>
    <xf numFmtId="0" fontId="12" fillId="0" borderId="0" xfId="0" applyFont="1" applyFill="1" applyProtection="1"/>
    <xf numFmtId="173" fontId="12" fillId="0" borderId="13" xfId="0" applyNumberFormat="1" applyFont="1" applyBorder="1" applyProtection="1"/>
    <xf numFmtId="173" fontId="12" fillId="0" borderId="0" xfId="294" applyNumberFormat="1" applyFont="1" applyProtection="1"/>
    <xf numFmtId="173" fontId="12" fillId="0" borderId="0" xfId="294" applyNumberFormat="1" applyFont="1" applyBorder="1" applyProtection="1"/>
    <xf numFmtId="173" fontId="12" fillId="0" borderId="13" xfId="294" applyNumberFormat="1" applyFont="1" applyBorder="1" applyProtection="1"/>
    <xf numFmtId="0" fontId="5" fillId="0" borderId="0" xfId="294" applyFont="1" applyFill="1" applyProtection="1"/>
    <xf numFmtId="173" fontId="5" fillId="0" borderId="0" xfId="294" applyNumberFormat="1" applyFont="1" applyFill="1" applyBorder="1" applyProtection="1"/>
    <xf numFmtId="0" fontId="12" fillId="0" borderId="0" xfId="0" applyFont="1" applyAlignment="1" applyProtection="1">
      <alignment vertical="top" wrapText="1"/>
    </xf>
    <xf numFmtId="0" fontId="26" fillId="0" borderId="0" xfId="0" applyFont="1" applyFill="1" applyProtection="1"/>
    <xf numFmtId="0" fontId="6" fillId="0" borderId="0" xfId="0" applyFont="1" applyFill="1" applyBorder="1" applyAlignment="1" applyProtection="1">
      <alignment horizontal="center"/>
    </xf>
    <xf numFmtId="0" fontId="9" fillId="0" borderId="0" xfId="0" applyFont="1" applyFill="1" applyBorder="1" applyAlignment="1" applyProtection="1">
      <alignment horizontal="center"/>
    </xf>
    <xf numFmtId="173" fontId="6" fillId="0" borderId="0" xfId="0" applyNumberFormat="1" applyFont="1" applyFill="1" applyBorder="1" applyAlignment="1" applyProtection="1">
      <alignment horizontal="center"/>
    </xf>
    <xf numFmtId="0" fontId="12" fillId="0" borderId="0" xfId="0" applyFont="1" applyBorder="1" applyProtection="1"/>
    <xf numFmtId="173" fontId="2" fillId="0" borderId="0" xfId="86" applyNumberFormat="1" applyProtection="1"/>
    <xf numFmtId="0" fontId="11" fillId="0" borderId="0" xfId="0" applyFont="1" applyFill="1" applyProtection="1"/>
    <xf numFmtId="0" fontId="18" fillId="0" borderId="0" xfId="0" applyFont="1" applyFill="1" applyAlignment="1" applyProtection="1">
      <alignment horizontal="right"/>
    </xf>
    <xf numFmtId="0" fontId="18" fillId="0" borderId="0" xfId="0" applyFont="1" applyFill="1" applyAlignment="1" applyProtection="1">
      <alignment horizontal="left"/>
    </xf>
    <xf numFmtId="0" fontId="18" fillId="0" borderId="0" xfId="0" applyFont="1" applyFill="1" applyBorder="1" applyAlignment="1" applyProtection="1">
      <alignment horizontal="right"/>
    </xf>
    <xf numFmtId="0" fontId="4" fillId="0" borderId="0" xfId="0" applyFont="1" applyFill="1" applyProtection="1"/>
    <xf numFmtId="0" fontId="66" fillId="0" borderId="0" xfId="0" applyFont="1" applyFill="1" applyProtection="1"/>
    <xf numFmtId="0" fontId="6" fillId="0" borderId="0" xfId="0" applyFont="1" applyAlignment="1" applyProtection="1">
      <alignment horizontal="left"/>
    </xf>
    <xf numFmtId="0" fontId="12" fillId="0" borderId="0" xfId="289" applyNumberFormat="1" applyFont="1" applyFill="1" applyBorder="1" applyAlignment="1" applyProtection="1"/>
    <xf numFmtId="3" fontId="12" fillId="0" borderId="0" xfId="289" applyNumberFormat="1" applyFont="1" applyAlignment="1" applyProtection="1"/>
    <xf numFmtId="10" fontId="2" fillId="0" borderId="0" xfId="299" applyNumberFormat="1" applyAlignment="1" applyProtection="1">
      <alignment horizontal="right"/>
    </xf>
    <xf numFmtId="172" fontId="12" fillId="0" borderId="0" xfId="289" applyFont="1" applyAlignment="1" applyProtection="1"/>
    <xf numFmtId="172" fontId="12" fillId="0" borderId="0" xfId="289" applyFont="1" applyBorder="1" applyAlignment="1" applyProtection="1"/>
    <xf numFmtId="3" fontId="12" fillId="0" borderId="0" xfId="289" applyNumberFormat="1" applyFont="1" applyFill="1" applyAlignment="1" applyProtection="1"/>
    <xf numFmtId="10" fontId="12" fillId="0" borderId="0" xfId="299" applyNumberFormat="1" applyFont="1" applyFill="1" applyAlignment="1" applyProtection="1">
      <alignment horizontal="right"/>
    </xf>
    <xf numFmtId="3" fontId="9" fillId="0" borderId="0" xfId="289" applyNumberFormat="1" applyFont="1" applyAlignment="1" applyProtection="1"/>
    <xf numFmtId="10" fontId="12" fillId="0" borderId="0" xfId="289" applyNumberFormat="1" applyFont="1" applyFill="1" applyAlignment="1" applyProtection="1">
      <alignment horizontal="right"/>
    </xf>
    <xf numFmtId="3" fontId="13" fillId="0" borderId="0" xfId="289" applyNumberFormat="1" applyFont="1" applyAlignment="1" applyProtection="1">
      <alignment horizontal="center"/>
    </xf>
    <xf numFmtId="10" fontId="13" fillId="0" borderId="0" xfId="289" applyNumberFormat="1" applyFont="1" applyFill="1" applyAlignment="1" applyProtection="1">
      <alignment horizontal="center"/>
    </xf>
    <xf numFmtId="0" fontId="12" fillId="0" borderId="0" xfId="289"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2" fillId="0" borderId="0" xfId="299" applyNumberFormat="1" applyFont="1" applyAlignment="1" applyProtection="1"/>
    <xf numFmtId="166" fontId="12" fillId="0" borderId="0" xfId="289" applyNumberFormat="1" applyFont="1" applyAlignment="1" applyProtection="1">
      <alignment horizontal="center"/>
    </xf>
    <xf numFmtId="166" fontId="12" fillId="0" borderId="0" xfId="289" applyNumberFormat="1" applyFont="1" applyBorder="1" applyAlignment="1" applyProtection="1">
      <alignment horizontal="center"/>
    </xf>
    <xf numFmtId="41" fontId="12" fillId="0" borderId="0" xfId="289" applyNumberFormat="1" applyFont="1" applyAlignment="1" applyProtection="1"/>
    <xf numFmtId="41" fontId="12" fillId="0" borderId="0" xfId="289" applyNumberFormat="1" applyFont="1" applyAlignment="1" applyProtection="1">
      <alignment horizontal="center"/>
    </xf>
    <xf numFmtId="41" fontId="12" fillId="0" borderId="0" xfId="289" applyNumberFormat="1" applyFont="1" applyBorder="1" applyAlignment="1" applyProtection="1">
      <alignment horizontal="center"/>
    </xf>
    <xf numFmtId="0" fontId="12" fillId="0" borderId="0" xfId="289" applyNumberFormat="1" applyFont="1" applyBorder="1" applyAlignment="1" applyProtection="1">
      <alignment horizontal="right"/>
    </xf>
    <xf numFmtId="164" fontId="13" fillId="0" borderId="0" xfId="299" applyNumberFormat="1" applyFont="1" applyAlignment="1" applyProtection="1"/>
    <xf numFmtId="0" fontId="12" fillId="0" borderId="0" xfId="289" applyNumberFormat="1" applyFont="1" applyBorder="1" applyAlignment="1" applyProtection="1"/>
    <xf numFmtId="3" fontId="12" fillId="0" borderId="0" xfId="289" applyNumberFormat="1" applyFont="1" applyAlignment="1" applyProtection="1">
      <alignment horizontal="right"/>
    </xf>
    <xf numFmtId="172" fontId="2" fillId="0" borderId="17" xfId="289" applyFont="1" applyBorder="1" applyAlignment="1" applyProtection="1"/>
    <xf numFmtId="0" fontId="2" fillId="0" borderId="0" xfId="289" applyNumberFormat="1" applyFont="1" applyBorder="1" applyAlignment="1" applyProtection="1">
      <alignment horizontal="center"/>
    </xf>
    <xf numFmtId="172" fontId="2" fillId="0" borderId="0" xfId="289" applyFont="1" applyBorder="1" applyAlignment="1" applyProtection="1"/>
    <xf numFmtId="3" fontId="2" fillId="0" borderId="18" xfId="289" applyNumberFormat="1" applyFont="1" applyBorder="1" applyAlignment="1" applyProtection="1"/>
    <xf numFmtId="10" fontId="12" fillId="0" borderId="0" xfId="289" applyNumberFormat="1" applyFont="1" applyFill="1" applyAlignment="1" applyProtection="1">
      <alignment horizontal="left"/>
    </xf>
    <xf numFmtId="41" fontId="12" fillId="0" borderId="0" xfId="289" applyNumberFormat="1" applyFont="1" applyBorder="1" applyAlignment="1" applyProtection="1"/>
    <xf numFmtId="0" fontId="2" fillId="0" borderId="17" xfId="0" applyFont="1" applyBorder="1" applyProtection="1"/>
    <xf numFmtId="0" fontId="2" fillId="0" borderId="0" xfId="0" applyFont="1" applyBorder="1" applyProtection="1"/>
    <xf numFmtId="0" fontId="2" fillId="0" borderId="18" xfId="0" applyFont="1" applyBorder="1" applyProtection="1"/>
    <xf numFmtId="41" fontId="12" fillId="0" borderId="0" xfId="289" applyNumberFormat="1" applyFont="1" applyFill="1" applyAlignment="1" applyProtection="1"/>
    <xf numFmtId="166" fontId="2" fillId="0" borderId="19" xfId="289" applyNumberFormat="1" applyFont="1" applyBorder="1" applyAlignment="1" applyProtection="1">
      <alignment horizontal="center"/>
    </xf>
    <xf numFmtId="0" fontId="2" fillId="0" borderId="6" xfId="289" applyNumberFormat="1" applyFont="1" applyBorder="1" applyAlignment="1" applyProtection="1">
      <alignment horizontal="center"/>
    </xf>
    <xf numFmtId="174" fontId="2" fillId="0" borderId="20" xfId="0" applyNumberFormat="1" applyFont="1" applyBorder="1" applyProtection="1"/>
    <xf numFmtId="41" fontId="2" fillId="0" borderId="0" xfId="289" applyNumberFormat="1" applyFont="1" applyBorder="1" applyAlignment="1" applyProtection="1"/>
    <xf numFmtId="0" fontId="12" fillId="31" borderId="0" xfId="289" applyNumberFormat="1" applyFont="1" applyFill="1" applyBorder="1" applyAlignment="1" applyProtection="1"/>
    <xf numFmtId="41" fontId="12" fillId="0" borderId="0" xfId="289" applyNumberFormat="1" applyFont="1" applyFill="1" applyAlignment="1" applyProtection="1">
      <alignment horizontal="left"/>
    </xf>
    <xf numFmtId="41" fontId="2" fillId="0" borderId="0" xfId="289" applyNumberFormat="1" applyFont="1" applyFill="1" applyBorder="1" applyAlignment="1" applyProtection="1">
      <alignment horizontal="right"/>
    </xf>
    <xf numFmtId="167" fontId="12" fillId="0" borderId="0" xfId="289" applyNumberFormat="1" applyFont="1" applyAlignment="1" applyProtection="1"/>
    <xf numFmtId="164" fontId="12" fillId="0" borderId="0" xfId="289" applyNumberFormat="1" applyFont="1" applyFill="1" applyBorder="1" applyAlignment="1" applyProtection="1">
      <alignment horizontal="left"/>
    </xf>
    <xf numFmtId="164" fontId="12" fillId="0" borderId="0" xfId="289" applyNumberFormat="1" applyFont="1" applyBorder="1" applyAlignment="1" applyProtection="1">
      <alignment horizontal="left"/>
    </xf>
    <xf numFmtId="3" fontId="12" fillId="0" borderId="0" xfId="289" applyNumberFormat="1" applyFont="1" applyAlignment="1" applyProtection="1">
      <alignment vertical="center" wrapText="1"/>
    </xf>
    <xf numFmtId="41" fontId="12" fillId="0" borderId="0" xfId="289" applyNumberFormat="1" applyFont="1" applyBorder="1" applyAlignment="1" applyProtection="1">
      <alignment vertical="center"/>
    </xf>
    <xf numFmtId="41" fontId="12" fillId="0" borderId="0" xfId="289" applyNumberFormat="1" applyFont="1" applyBorder="1" applyAlignment="1" applyProtection="1">
      <alignment horizontal="center" vertical="center"/>
    </xf>
    <xf numFmtId="41" fontId="12" fillId="0" borderId="0" xfId="289" applyNumberFormat="1" applyFont="1" applyAlignment="1" applyProtection="1">
      <alignment horizontal="right"/>
    </xf>
    <xf numFmtId="10" fontId="12" fillId="0" borderId="0" xfId="0" applyNumberFormat="1" applyFont="1" applyProtection="1"/>
    <xf numFmtId="173" fontId="12" fillId="0" borderId="0" xfId="86" applyNumberFormat="1" applyFont="1" applyProtection="1"/>
    <xf numFmtId="41" fontId="12" fillId="0" borderId="0" xfId="0" applyNumberFormat="1" applyFont="1" applyProtection="1"/>
    <xf numFmtId="41" fontId="12" fillId="0" borderId="0" xfId="289" applyNumberFormat="1" applyFont="1" applyFill="1" applyBorder="1" applyAlignment="1" applyProtection="1"/>
    <xf numFmtId="41" fontId="12" fillId="0" borderId="11" xfId="289" applyNumberFormat="1" applyFont="1" applyFill="1" applyBorder="1" applyAlignment="1" applyProtection="1"/>
    <xf numFmtId="3" fontId="12" fillId="0" borderId="0" xfId="289" applyNumberFormat="1" applyFont="1" applyFill="1" applyBorder="1" applyAlignment="1" applyProtection="1"/>
    <xf numFmtId="41" fontId="12" fillId="0" borderId="0" xfId="289" applyNumberFormat="1" applyFont="1" applyFill="1" applyBorder="1" applyAlignment="1" applyProtection="1">
      <alignment horizontal="center"/>
    </xf>
    <xf numFmtId="0" fontId="12" fillId="0" borderId="0" xfId="289" applyNumberFormat="1" applyFont="1" applyFill="1" applyBorder="1" applyProtection="1"/>
    <xf numFmtId="41" fontId="13" fillId="0" borderId="0" xfId="289" applyNumberFormat="1" applyFont="1" applyFill="1" applyBorder="1" applyAlignment="1" applyProtection="1"/>
    <xf numFmtId="3" fontId="12" fillId="0" borderId="0" xfId="289" applyNumberFormat="1" applyFont="1" applyFill="1" applyBorder="1" applyAlignment="1" applyProtection="1">
      <alignment horizontal="center"/>
    </xf>
    <xf numFmtId="0" fontId="12" fillId="0" borderId="0" xfId="0" applyFont="1" applyFill="1" applyBorder="1" applyProtection="1"/>
    <xf numFmtId="0" fontId="12" fillId="0" borderId="0" xfId="289" applyNumberFormat="1" applyFont="1" applyFill="1" applyBorder="1" applyAlignment="1" applyProtection="1">
      <alignment horizontal="center"/>
    </xf>
    <xf numFmtId="10" fontId="12" fillId="0" borderId="0" xfId="289" applyNumberFormat="1" applyFont="1" applyFill="1" applyBorder="1" applyAlignment="1" applyProtection="1"/>
    <xf numFmtId="169" fontId="12" fillId="0" borderId="0" xfId="289" applyNumberFormat="1" applyFont="1" applyFill="1" applyBorder="1" applyAlignment="1" applyProtection="1"/>
    <xf numFmtId="172" fontId="12" fillId="0" borderId="0" xfId="289" applyFont="1" applyFill="1" applyBorder="1" applyAlignment="1" applyProtection="1"/>
    <xf numFmtId="169" fontId="9" fillId="0" borderId="0" xfId="289" applyNumberFormat="1" applyFont="1" applyFill="1" applyBorder="1" applyAlignment="1" applyProtection="1"/>
    <xf numFmtId="0" fontId="12" fillId="0" borderId="0" xfId="0" applyFont="1" applyFill="1" applyBorder="1" applyAlignment="1" applyProtection="1">
      <alignment horizontal="center"/>
    </xf>
    <xf numFmtId="41" fontId="12" fillId="0" borderId="0" xfId="0" applyNumberFormat="1" applyFont="1" applyFill="1" applyBorder="1" applyProtection="1"/>
    <xf numFmtId="173" fontId="12" fillId="0" borderId="0" xfId="86" applyNumberFormat="1" applyFont="1" applyFill="1" applyBorder="1" applyProtection="1"/>
    <xf numFmtId="41" fontId="13" fillId="0" borderId="0" xfId="0" applyNumberFormat="1" applyFont="1" applyProtection="1"/>
    <xf numFmtId="181" fontId="12" fillId="0" borderId="0" xfId="86" applyNumberFormat="1" applyFont="1" applyProtection="1"/>
    <xf numFmtId="10" fontId="13" fillId="0" borderId="0" xfId="0" applyNumberFormat="1" applyFont="1" applyProtection="1"/>
    <xf numFmtId="0" fontId="12" fillId="31" borderId="0" xfId="0" applyFont="1" applyFill="1" applyBorder="1" applyProtection="1"/>
    <xf numFmtId="173" fontId="12" fillId="0" borderId="0" xfId="86" applyNumberFormat="1" applyFont="1" applyFill="1" applyProtection="1"/>
    <xf numFmtId="173" fontId="12" fillId="0" borderId="0" xfId="86" applyNumberFormat="1" applyFont="1" applyBorder="1" applyProtection="1"/>
    <xf numFmtId="43" fontId="12" fillId="0" borderId="0" xfId="86" applyFont="1" applyProtection="1"/>
    <xf numFmtId="173" fontId="12" fillId="0" borderId="0" xfId="0" applyNumberFormat="1" applyFont="1" applyProtection="1"/>
    <xf numFmtId="0" fontId="68" fillId="0" borderId="0" xfId="0" applyFont="1" applyFill="1" applyProtection="1"/>
    <xf numFmtId="173" fontId="12" fillId="0" borderId="0" xfId="0" applyNumberFormat="1" applyFont="1" applyBorder="1" applyProtection="1"/>
    <xf numFmtId="174" fontId="12" fillId="0" borderId="0" xfId="0" applyNumberFormat="1" applyFont="1" applyBorder="1" applyProtection="1"/>
    <xf numFmtId="0" fontId="11" fillId="0" borderId="0" xfId="0" applyFont="1" applyProtection="1"/>
    <xf numFmtId="0" fontId="18" fillId="0" borderId="0" xfId="0" applyFont="1" applyAlignment="1" applyProtection="1">
      <alignment horizontal="right"/>
    </xf>
    <xf numFmtId="0" fontId="6" fillId="0" borderId="0" xfId="0" applyFont="1" applyFill="1" applyProtection="1"/>
    <xf numFmtId="0" fontId="9" fillId="0" borderId="21" xfId="0" applyFont="1" applyBorder="1" applyProtection="1"/>
    <xf numFmtId="0" fontId="9" fillId="0" borderId="15" xfId="0" applyFont="1" applyBorder="1" applyProtection="1"/>
    <xf numFmtId="0" fontId="12" fillId="0" borderId="15" xfId="0" applyFont="1" applyBorder="1" applyProtection="1"/>
    <xf numFmtId="0" fontId="5" fillId="0" borderId="0" xfId="86" applyNumberFormat="1" applyFont="1" applyFill="1" applyAlignment="1" applyProtection="1">
      <alignment horizontal="left"/>
    </xf>
    <xf numFmtId="0" fontId="5" fillId="0" borderId="0" xfId="86" applyNumberFormat="1" applyFont="1" applyFill="1" applyBorder="1" applyAlignment="1" applyProtection="1">
      <alignment horizontal="left"/>
    </xf>
    <xf numFmtId="0" fontId="9" fillId="0" borderId="17" xfId="0" applyFont="1" applyBorder="1" applyProtection="1"/>
    <xf numFmtId="0" fontId="9" fillId="0" borderId="0" xfId="0" applyFont="1" applyFill="1" applyProtection="1"/>
    <xf numFmtId="173" fontId="12" fillId="0" borderId="20" xfId="86" applyNumberFormat="1" applyFont="1" applyBorder="1" applyProtection="1"/>
    <xf numFmtId="0" fontId="7" fillId="0" borderId="0" xfId="0" applyFont="1" applyFill="1" applyProtection="1"/>
    <xf numFmtId="173" fontId="22" fillId="0" borderId="0" xfId="0" applyNumberFormat="1" applyFont="1" applyAlignment="1" applyProtection="1">
      <alignment horizontal="left"/>
    </xf>
    <xf numFmtId="0" fontId="12" fillId="0" borderId="0" xfId="0" applyFont="1" applyFill="1" applyAlignment="1" applyProtection="1">
      <alignment wrapText="1"/>
    </xf>
    <xf numFmtId="0" fontId="7" fillId="0" borderId="0" xfId="0" applyFont="1" applyFill="1" applyAlignment="1" applyProtection="1"/>
    <xf numFmtId="0" fontId="12" fillId="0" borderId="0" xfId="0" applyFont="1" applyFill="1" applyAlignment="1" applyProtection="1"/>
    <xf numFmtId="0" fontId="12" fillId="0" borderId="0" xfId="0" applyFont="1" applyFill="1" applyBorder="1" applyAlignment="1" applyProtection="1">
      <alignment wrapText="1"/>
    </xf>
    <xf numFmtId="0" fontId="12" fillId="0" borderId="22"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0" fillId="0" borderId="0" xfId="0" applyFill="1" applyBorder="1" applyAlignment="1" applyProtection="1"/>
    <xf numFmtId="0" fontId="12" fillId="0" borderId="0" xfId="0" applyFont="1" applyBorder="1" applyAlignment="1" applyProtection="1"/>
    <xf numFmtId="0" fontId="12" fillId="0" borderId="0" xfId="0" applyFont="1" applyFill="1" applyBorder="1" applyAlignment="1" applyProtection="1"/>
    <xf numFmtId="0" fontId="12" fillId="0" borderId="17" xfId="0" applyFont="1" applyFill="1" applyBorder="1" applyProtection="1"/>
    <xf numFmtId="0" fontId="12" fillId="0" borderId="0" xfId="0" applyFont="1" applyBorder="1" applyAlignment="1" applyProtection="1">
      <alignment horizontal="center"/>
    </xf>
    <xf numFmtId="0" fontId="9" fillId="0" borderId="25" xfId="0" applyFont="1" applyFill="1" applyBorder="1" applyAlignment="1" applyProtection="1">
      <alignment horizontal="center"/>
    </xf>
    <xf numFmtId="173" fontId="12" fillId="0" borderId="0" xfId="0" applyNumberFormat="1" applyFont="1" applyFill="1" applyBorder="1" applyAlignment="1" applyProtection="1">
      <alignment horizontal="right"/>
    </xf>
    <xf numFmtId="10" fontId="12" fillId="0" borderId="18" xfId="0" applyNumberFormat="1" applyFont="1" applyBorder="1" applyProtection="1"/>
    <xf numFmtId="10" fontId="12" fillId="0" borderId="0" xfId="0" applyNumberFormat="1" applyFont="1" applyFill="1" applyBorder="1" applyProtection="1"/>
    <xf numFmtId="173" fontId="12" fillId="0" borderId="18" xfId="0" applyNumberFormat="1" applyFont="1" applyFill="1" applyBorder="1" applyAlignment="1" applyProtection="1">
      <alignment horizontal="right"/>
    </xf>
    <xf numFmtId="10" fontId="12" fillId="0" borderId="0" xfId="0" applyNumberFormat="1" applyFont="1" applyBorder="1" applyProtection="1"/>
    <xf numFmtId="0" fontId="12" fillId="0" borderId="19" xfId="0" applyFont="1" applyBorder="1" applyProtection="1"/>
    <xf numFmtId="0" fontId="12" fillId="0" borderId="6" xfId="0" applyFont="1" applyBorder="1" applyAlignment="1" applyProtection="1">
      <alignment horizontal="center"/>
    </xf>
    <xf numFmtId="0" fontId="0" fillId="0" borderId="6" xfId="0" applyBorder="1" applyProtection="1"/>
    <xf numFmtId="0" fontId="9" fillId="0" borderId="26" xfId="0" applyFont="1" applyBorder="1" applyAlignment="1" applyProtection="1">
      <alignment horizontal="center" wrapText="1"/>
    </xf>
    <xf numFmtId="173" fontId="9" fillId="0" borderId="0" xfId="86" applyNumberFormat="1" applyFont="1" applyBorder="1" applyAlignment="1" applyProtection="1">
      <alignment horizontal="center" wrapText="1"/>
    </xf>
    <xf numFmtId="173" fontId="9" fillId="0" borderId="26" xfId="86" applyNumberFormat="1" applyFont="1" applyBorder="1" applyAlignment="1" applyProtection="1">
      <alignment horizontal="center" wrapText="1"/>
    </xf>
    <xf numFmtId="173" fontId="9" fillId="0" borderId="25" xfId="86" applyNumberFormat="1" applyFont="1" applyBorder="1" applyAlignment="1" applyProtection="1">
      <alignment horizontal="center" wrapText="1"/>
    </xf>
    <xf numFmtId="0" fontId="9" fillId="0" borderId="27" xfId="0" applyFont="1" applyBorder="1" applyAlignment="1" applyProtection="1">
      <alignment horizontal="center" wrapText="1"/>
    </xf>
    <xf numFmtId="0" fontId="9" fillId="0" borderId="0" xfId="0" applyFont="1" applyBorder="1" applyAlignment="1" applyProtection="1">
      <alignment horizontal="center" wrapText="1"/>
    </xf>
    <xf numFmtId="0" fontId="9" fillId="0" borderId="28" xfId="0" applyFont="1" applyBorder="1" applyAlignment="1" applyProtection="1">
      <alignment horizontal="center"/>
    </xf>
    <xf numFmtId="0" fontId="9" fillId="0" borderId="6" xfId="0" applyFont="1" applyBorder="1" applyAlignment="1" applyProtection="1">
      <alignment horizontal="center"/>
    </xf>
    <xf numFmtId="173" fontId="9" fillId="0" borderId="28" xfId="86" applyNumberFormat="1" applyFont="1" applyBorder="1" applyAlignment="1" applyProtection="1">
      <alignment horizontal="center"/>
    </xf>
    <xf numFmtId="173" fontId="9" fillId="0" borderId="20" xfId="86" applyNumberFormat="1" applyFont="1" applyBorder="1" applyAlignment="1" applyProtection="1">
      <alignment horizontal="center"/>
    </xf>
    <xf numFmtId="0" fontId="9" fillId="0" borderId="28" xfId="0" applyFont="1" applyFill="1" applyBorder="1" applyAlignment="1" applyProtection="1">
      <alignment horizontal="center"/>
    </xf>
    <xf numFmtId="0" fontId="9" fillId="0" borderId="27" xfId="0" applyFont="1" applyFill="1" applyBorder="1" applyAlignment="1" applyProtection="1">
      <alignment horizontal="center"/>
    </xf>
    <xf numFmtId="0" fontId="12" fillId="0" borderId="27" xfId="0" applyNumberFormat="1" applyFont="1" applyBorder="1" applyAlignment="1" applyProtection="1">
      <alignment horizontal="center"/>
    </xf>
    <xf numFmtId="173" fontId="12" fillId="0" borderId="27" xfId="86" applyNumberFormat="1" applyFont="1" applyBorder="1" applyProtection="1"/>
    <xf numFmtId="173" fontId="12" fillId="0" borderId="27" xfId="86" applyNumberFormat="1" applyFont="1" applyFill="1" applyBorder="1" applyProtection="1"/>
    <xf numFmtId="173" fontId="12" fillId="0" borderId="18" xfId="86" applyNumberFormat="1" applyFont="1" applyFill="1" applyBorder="1" applyProtection="1"/>
    <xf numFmtId="174" fontId="12" fillId="0" borderId="27" xfId="0" applyNumberFormat="1" applyFont="1" applyBorder="1" applyProtection="1"/>
    <xf numFmtId="174" fontId="8" fillId="28" borderId="26" xfId="0" applyNumberFormat="1" applyFont="1" applyFill="1" applyBorder="1" applyProtection="1"/>
    <xf numFmtId="174" fontId="12" fillId="29" borderId="26" xfId="0" applyNumberFormat="1" applyFont="1" applyFill="1" applyBorder="1" applyProtection="1"/>
    <xf numFmtId="173" fontId="12" fillId="0" borderId="27" xfId="0" applyNumberFormat="1" applyFont="1" applyBorder="1" applyProtection="1"/>
    <xf numFmtId="173" fontId="12" fillId="0" borderId="18" xfId="86" applyNumberFormat="1" applyFont="1" applyBorder="1" applyProtection="1"/>
    <xf numFmtId="174" fontId="8" fillId="28" borderId="27" xfId="0" applyNumberFormat="1" applyFont="1" applyFill="1" applyBorder="1" applyProtection="1"/>
    <xf numFmtId="174" fontId="12" fillId="29" borderId="27" xfId="0" applyNumberFormat="1" applyFont="1" applyFill="1" applyBorder="1" applyProtection="1"/>
    <xf numFmtId="0" fontId="12" fillId="0" borderId="28" xfId="0" applyNumberFormat="1" applyFont="1" applyBorder="1" applyAlignment="1" applyProtection="1">
      <alignment horizontal="center"/>
    </xf>
    <xf numFmtId="173" fontId="12" fillId="0" borderId="6" xfId="0" applyNumberFormat="1" applyFont="1" applyBorder="1" applyProtection="1"/>
    <xf numFmtId="173" fontId="12" fillId="0" borderId="28" xfId="0" applyNumberFormat="1" applyFont="1" applyBorder="1" applyProtection="1"/>
    <xf numFmtId="173" fontId="12" fillId="0" borderId="28" xfId="86" applyNumberFormat="1" applyFont="1" applyBorder="1" applyProtection="1"/>
    <xf numFmtId="174" fontId="12" fillId="0" borderId="28" xfId="0" applyNumberFormat="1" applyFont="1" applyBorder="1" applyProtection="1"/>
    <xf numFmtId="174" fontId="8" fillId="28" borderId="28" xfId="0" applyNumberFormat="1" applyFont="1" applyFill="1" applyBorder="1" applyProtection="1"/>
    <xf numFmtId="174" fontId="12" fillId="29" borderId="28" xfId="0" applyNumberFormat="1" applyFont="1" applyFill="1" applyBorder="1" applyProtection="1"/>
    <xf numFmtId="0" fontId="0" fillId="32" borderId="0" xfId="0" applyFill="1" applyProtection="1"/>
    <xf numFmtId="10" fontId="0" fillId="0" borderId="0" xfId="299" applyNumberFormat="1" applyFont="1" applyAlignment="1" applyProtection="1">
      <alignment horizontal="right"/>
    </xf>
    <xf numFmtId="172" fontId="12" fillId="0" borderId="21" xfId="289" applyFont="1" applyBorder="1" applyAlignment="1" applyProtection="1"/>
    <xf numFmtId="172" fontId="12" fillId="0" borderId="15" xfId="289" applyFont="1" applyBorder="1" applyAlignment="1" applyProtection="1"/>
    <xf numFmtId="3" fontId="12" fillId="0" borderId="25" xfId="289" applyNumberFormat="1" applyFont="1" applyBorder="1" applyAlignment="1" applyProtection="1"/>
    <xf numFmtId="172" fontId="12" fillId="0" borderId="17" xfId="289" applyFont="1" applyBorder="1" applyAlignment="1" applyProtection="1"/>
    <xf numFmtId="3" fontId="12" fillId="0" borderId="18" xfId="289" applyNumberFormat="1" applyFont="1" applyBorder="1" applyAlignment="1" applyProtection="1"/>
    <xf numFmtId="0" fontId="12" fillId="0" borderId="0" xfId="289" quotePrefix="1" applyNumberFormat="1" applyFont="1" applyBorder="1" applyAlignment="1" applyProtection="1">
      <alignment horizontal="center"/>
    </xf>
    <xf numFmtId="0" fontId="12" fillId="0" borderId="18" xfId="0" applyFont="1" applyBorder="1" applyProtection="1"/>
    <xf numFmtId="10" fontId="32" fillId="0" borderId="0" xfId="0" applyNumberFormat="1" applyFont="1" applyFill="1" applyAlignment="1" applyProtection="1">
      <alignment horizontal="center"/>
    </xf>
    <xf numFmtId="0" fontId="12" fillId="0" borderId="17" xfId="0" applyFont="1" applyBorder="1" applyProtection="1"/>
    <xf numFmtId="0" fontId="12" fillId="0" borderId="0" xfId="0" applyFont="1" applyBorder="1" applyAlignment="1" applyProtection="1">
      <alignment horizontal="right"/>
    </xf>
    <xf numFmtId="174" fontId="12" fillId="0" borderId="18" xfId="0" applyNumberFormat="1" applyFont="1" applyBorder="1" applyProtection="1"/>
    <xf numFmtId="174" fontId="12" fillId="0" borderId="20" xfId="0" applyNumberFormat="1" applyFont="1" applyBorder="1" applyProtection="1"/>
    <xf numFmtId="173" fontId="12" fillId="0" borderId="25" xfId="0" applyNumberFormat="1" applyFont="1" applyBorder="1" applyProtection="1"/>
    <xf numFmtId="166" fontId="12" fillId="0" borderId="19" xfId="289" applyNumberFormat="1" applyFont="1" applyBorder="1" applyAlignment="1" applyProtection="1">
      <alignment horizontal="center"/>
    </xf>
    <xf numFmtId="0" fontId="12" fillId="0" borderId="6" xfId="289" applyNumberFormat="1" applyFont="1" applyBorder="1" applyAlignment="1" applyProtection="1">
      <alignment horizontal="center"/>
    </xf>
    <xf numFmtId="173" fontId="12" fillId="0" borderId="6" xfId="289" quotePrefix="1" applyNumberFormat="1" applyFont="1" applyBorder="1" applyAlignment="1" applyProtection="1">
      <alignment horizontal="center"/>
    </xf>
    <xf numFmtId="41" fontId="12" fillId="0" borderId="0" xfId="289" applyNumberFormat="1" applyFont="1" applyFill="1" applyBorder="1" applyAlignment="1" applyProtection="1">
      <alignment horizontal="right"/>
    </xf>
    <xf numFmtId="10" fontId="12" fillId="0" borderId="0" xfId="299" applyNumberFormat="1" applyFont="1" applyFill="1" applyBorder="1" applyAlignment="1" applyProtection="1"/>
    <xf numFmtId="0" fontId="126" fillId="27" borderId="0" xfId="0" applyFont="1" applyFill="1" applyBorder="1" applyProtection="1"/>
    <xf numFmtId="0" fontId="9" fillId="0" borderId="21" xfId="0" applyFont="1" applyFill="1" applyBorder="1" applyAlignment="1" applyProtection="1">
      <alignment horizontal="center"/>
    </xf>
    <xf numFmtId="173" fontId="12" fillId="0" borderId="17" xfId="86" applyNumberFormat="1" applyFont="1" applyBorder="1" applyProtection="1"/>
    <xf numFmtId="173" fontId="9" fillId="0" borderId="0" xfId="86" applyNumberFormat="1" applyFont="1" applyBorder="1" applyProtection="1"/>
    <xf numFmtId="173" fontId="12" fillId="0" borderId="18" xfId="0" applyNumberFormat="1" applyFont="1" applyBorder="1" applyProtection="1"/>
    <xf numFmtId="173" fontId="9" fillId="0" borderId="11" xfId="86" applyNumberFormat="1" applyFont="1" applyBorder="1" applyProtection="1"/>
    <xf numFmtId="173" fontId="12" fillId="0" borderId="29" xfId="0" applyNumberFormat="1" applyFont="1" applyBorder="1" applyProtection="1"/>
    <xf numFmtId="173" fontId="9" fillId="0" borderId="6" xfId="86" applyNumberFormat="1" applyFont="1" applyFill="1" applyBorder="1" applyAlignment="1" applyProtection="1">
      <alignment horizontal="left"/>
    </xf>
    <xf numFmtId="173" fontId="9" fillId="0" borderId="20" xfId="86" applyNumberFormat="1" applyFont="1" applyFill="1" applyBorder="1" applyAlignment="1" applyProtection="1">
      <alignment horizontal="left"/>
    </xf>
    <xf numFmtId="173" fontId="12" fillId="0" borderId="26" xfId="0" applyNumberFormat="1" applyFont="1" applyBorder="1" applyProtection="1"/>
    <xf numFmtId="174" fontId="12" fillId="0" borderId="26" xfId="0" applyNumberFormat="1" applyFont="1" applyBorder="1" applyProtection="1"/>
    <xf numFmtId="0" fontId="9" fillId="0" borderId="0" xfId="289" applyNumberFormat="1" applyFont="1" applyFill="1" applyBorder="1" applyAlignment="1" applyProtection="1">
      <alignment vertical="center"/>
    </xf>
    <xf numFmtId="0" fontId="106" fillId="0" borderId="0" xfId="0" applyFont="1" applyProtection="1"/>
    <xf numFmtId="0" fontId="9" fillId="0" borderId="0" xfId="289" applyNumberFormat="1" applyFont="1" applyFill="1" applyBorder="1" applyAlignment="1" applyProtection="1">
      <alignment vertical="top"/>
    </xf>
    <xf numFmtId="0" fontId="22" fillId="0" borderId="0" xfId="0" applyFont="1" applyAlignment="1" applyProtection="1"/>
    <xf numFmtId="0" fontId="123" fillId="0" borderId="0" xfId="0" applyFont="1" applyFill="1" applyAlignment="1" applyProtection="1">
      <alignment horizontal="left"/>
    </xf>
    <xf numFmtId="0" fontId="123" fillId="0" borderId="0" xfId="0" applyFont="1" applyFill="1" applyProtection="1"/>
    <xf numFmtId="0" fontId="123" fillId="0" borderId="26" xfId="0" applyFont="1" applyFill="1" applyBorder="1" applyAlignment="1" applyProtection="1">
      <alignment horizontal="center" wrapText="1"/>
    </xf>
    <xf numFmtId="0" fontId="123" fillId="0" borderId="27" xfId="0" applyFont="1" applyFill="1" applyBorder="1" applyAlignment="1" applyProtection="1">
      <alignment horizontal="center" wrapText="1"/>
    </xf>
    <xf numFmtId="0" fontId="123" fillId="0" borderId="27" xfId="0" applyFont="1" applyFill="1" applyBorder="1" applyProtection="1"/>
    <xf numFmtId="170" fontId="124" fillId="0" borderId="0" xfId="0" applyNumberFormat="1" applyFont="1" applyFill="1" applyAlignment="1" applyProtection="1">
      <alignment horizontal="right"/>
    </xf>
    <xf numFmtId="170" fontId="123" fillId="0" borderId="0" xfId="0" applyNumberFormat="1" applyFont="1" applyFill="1" applyAlignment="1" applyProtection="1">
      <alignment horizontal="center"/>
    </xf>
    <xf numFmtId="170" fontId="123" fillId="0" borderId="0" xfId="0" applyNumberFormat="1" applyFont="1" applyFill="1" applyProtection="1"/>
    <xf numFmtId="170" fontId="124" fillId="0" borderId="0" xfId="0" applyNumberFormat="1" applyFont="1" applyFill="1" applyAlignment="1" applyProtection="1">
      <alignment horizontal="center"/>
    </xf>
    <xf numFmtId="170" fontId="5" fillId="0" borderId="0" xfId="0" applyNumberFormat="1" applyFont="1" applyFill="1" applyProtection="1"/>
    <xf numFmtId="5" fontId="123" fillId="0" borderId="28" xfId="0" applyNumberFormat="1" applyFont="1" applyFill="1" applyBorder="1" applyAlignment="1" applyProtection="1">
      <alignment horizontal="center"/>
    </xf>
    <xf numFmtId="173" fontId="123" fillId="0" borderId="0" xfId="0" applyNumberFormat="1" applyFont="1" applyFill="1" applyProtection="1"/>
    <xf numFmtId="0" fontId="123" fillId="0" borderId="0" xfId="0" applyFont="1" applyFill="1" applyAlignment="1" applyProtection="1">
      <alignment horizontal="center"/>
    </xf>
    <xf numFmtId="173" fontId="123" fillId="0" borderId="6" xfId="0" applyNumberFormat="1" applyFont="1" applyFill="1" applyBorder="1" applyProtection="1"/>
    <xf numFmtId="0" fontId="123" fillId="0" borderId="6" xfId="0" applyFont="1" applyFill="1" applyBorder="1" applyAlignment="1" applyProtection="1">
      <alignment horizontal="center"/>
    </xf>
    <xf numFmtId="0" fontId="5" fillId="0" borderId="6" xfId="0" applyFont="1" applyFill="1" applyBorder="1" applyProtection="1"/>
    <xf numFmtId="173" fontId="123" fillId="0" borderId="0" xfId="0" applyNumberFormat="1" applyFont="1" applyFill="1" applyAlignment="1" applyProtection="1">
      <alignment horizontal="left"/>
    </xf>
    <xf numFmtId="0" fontId="124" fillId="0" borderId="0" xfId="0" applyNumberFormat="1" applyFont="1" applyFill="1" applyAlignment="1" applyProtection="1">
      <alignment horizontal="left"/>
    </xf>
    <xf numFmtId="0" fontId="124" fillId="0" borderId="0" xfId="0" applyFont="1" applyFill="1" applyAlignment="1" applyProtection="1">
      <alignment horizontal="center" wrapText="1"/>
    </xf>
    <xf numFmtId="0" fontId="124" fillId="0" borderId="0" xfId="0" applyFont="1" applyFill="1" applyAlignment="1" applyProtection="1">
      <alignment horizontal="center"/>
    </xf>
    <xf numFmtId="173" fontId="124" fillId="0" borderId="0" xfId="0" applyNumberFormat="1" applyFont="1" applyFill="1" applyAlignment="1" applyProtection="1">
      <alignment horizontal="center" wrapText="1"/>
    </xf>
    <xf numFmtId="173" fontId="124" fillId="0" borderId="0" xfId="0" applyNumberFormat="1" applyFont="1" applyFill="1" applyAlignment="1" applyProtection="1">
      <alignment horizontal="center"/>
    </xf>
    <xf numFmtId="176" fontId="123" fillId="0" borderId="0" xfId="302" applyNumberFormat="1" applyFont="1" applyFill="1" applyProtection="1"/>
    <xf numFmtId="173" fontId="123" fillId="0" borderId="0" xfId="0" applyNumberFormat="1" applyFont="1" applyFill="1" applyAlignment="1" applyProtection="1">
      <alignment horizontal="center"/>
    </xf>
    <xf numFmtId="0" fontId="125" fillId="0" borderId="0" xfId="0" applyFont="1" applyFill="1" applyAlignment="1" applyProtection="1">
      <alignment horizontal="center"/>
    </xf>
    <xf numFmtId="173" fontId="123" fillId="0" borderId="0" xfId="90" applyNumberFormat="1" applyFont="1" applyFill="1" applyProtection="1"/>
    <xf numFmtId="176" fontId="123" fillId="0" borderId="0" xfId="0" applyNumberFormat="1" applyFont="1" applyFill="1" applyProtection="1"/>
    <xf numFmtId="0" fontId="123" fillId="0" borderId="0" xfId="0" applyNumberFormat="1" applyFont="1" applyFill="1" applyProtection="1"/>
    <xf numFmtId="173" fontId="123" fillId="0" borderId="11" xfId="90" applyNumberFormat="1" applyFont="1" applyFill="1" applyBorder="1" applyProtection="1"/>
    <xf numFmtId="173" fontId="124" fillId="0" borderId="0" xfId="90" applyNumberFormat="1" applyFont="1" applyFill="1" applyProtection="1"/>
    <xf numFmtId="173" fontId="124" fillId="0" borderId="0" xfId="90" applyNumberFormat="1" applyFont="1" applyFill="1" applyAlignment="1" applyProtection="1">
      <alignment horizontal="center"/>
    </xf>
    <xf numFmtId="0" fontId="125" fillId="0" borderId="0" xfId="0" applyFont="1" applyFill="1" applyProtection="1"/>
    <xf numFmtId="173" fontId="124" fillId="0" borderId="0" xfId="0" applyNumberFormat="1" applyFont="1" applyFill="1" applyProtection="1"/>
    <xf numFmtId="196" fontId="5" fillId="0" borderId="0" xfId="0" applyNumberFormat="1" applyFont="1" applyFill="1" applyProtection="1"/>
    <xf numFmtId="173" fontId="5" fillId="0" borderId="0" xfId="90" applyNumberFormat="1" applyFont="1" applyFill="1" applyProtection="1"/>
    <xf numFmtId="173" fontId="5" fillId="0" borderId="0" xfId="131" applyNumberFormat="1" applyFont="1" applyFill="1" applyProtection="1"/>
    <xf numFmtId="0" fontId="0" fillId="0" borderId="0" xfId="0" applyFill="1" applyAlignment="1" applyProtection="1">
      <alignment horizontal="left"/>
    </xf>
    <xf numFmtId="0" fontId="19" fillId="33" borderId="0" xfId="86" applyNumberFormat="1" applyFont="1" applyFill="1" applyAlignment="1" applyProtection="1">
      <protection locked="0"/>
    </xf>
    <xf numFmtId="173" fontId="19" fillId="33" borderId="0" xfId="86" applyNumberFormat="1" applyFont="1" applyFill="1" applyAlignment="1" applyProtection="1">
      <alignment horizontal="right"/>
      <protection locked="0"/>
    </xf>
    <xf numFmtId="41" fontId="19" fillId="33" borderId="0" xfId="289" applyNumberFormat="1" applyFont="1" applyFill="1" applyAlignment="1" applyProtection="1">
      <protection locked="0"/>
    </xf>
    <xf numFmtId="41" fontId="19" fillId="33" borderId="6" xfId="289" applyNumberFormat="1" applyFont="1" applyFill="1" applyBorder="1" applyAlignment="1" applyProtection="1">
      <protection locked="0"/>
    </xf>
    <xf numFmtId="3" fontId="19" fillId="33" borderId="0" xfId="289" applyNumberFormat="1" applyFont="1" applyFill="1" applyAlignment="1" applyProtection="1">
      <protection locked="0"/>
    </xf>
    <xf numFmtId="3" fontId="19" fillId="33" borderId="6" xfId="289" applyNumberFormat="1" applyFont="1" applyFill="1" applyBorder="1" applyAlignment="1" applyProtection="1">
      <protection locked="0"/>
    </xf>
    <xf numFmtId="10" fontId="19" fillId="33" borderId="0" xfId="299" applyNumberFormat="1" applyFont="1" applyFill="1" applyAlignment="1" applyProtection="1">
      <protection locked="0"/>
    </xf>
    <xf numFmtId="173" fontId="8" fillId="33" borderId="0" xfId="91" applyNumberFormat="1" applyFont="1" applyFill="1" applyBorder="1" applyAlignment="1" applyProtection="1">
      <alignment horizontal="right"/>
      <protection locked="0"/>
    </xf>
    <xf numFmtId="0" fontId="32" fillId="33" borderId="0" xfId="236" applyFont="1" applyFill="1" applyBorder="1" applyProtection="1">
      <protection locked="0"/>
    </xf>
    <xf numFmtId="173" fontId="8" fillId="33" borderId="11" xfId="91" applyNumberFormat="1" applyFont="1" applyFill="1" applyBorder="1" applyAlignment="1" applyProtection="1">
      <alignment horizontal="right"/>
      <protection locked="0"/>
    </xf>
    <xf numFmtId="41" fontId="8" fillId="33" borderId="0" xfId="281" applyNumberFormat="1" applyFont="1" applyFill="1" applyProtection="1">
      <protection locked="0"/>
    </xf>
    <xf numFmtId="37" fontId="8" fillId="33" borderId="0" xfId="0" applyNumberFormat="1" applyFont="1" applyFill="1" applyProtection="1">
      <protection locked="0"/>
    </xf>
    <xf numFmtId="3" fontId="63" fillId="33" borderId="0" xfId="0" applyNumberFormat="1" applyFont="1" applyFill="1" applyProtection="1">
      <protection locked="0"/>
    </xf>
    <xf numFmtId="3" fontId="127" fillId="33" borderId="0" xfId="0" applyNumberFormat="1" applyFont="1" applyFill="1" applyProtection="1">
      <protection locked="0"/>
    </xf>
    <xf numFmtId="37" fontId="127" fillId="33" borderId="0" xfId="0" applyNumberFormat="1" applyFont="1" applyFill="1" applyProtection="1">
      <protection locked="0"/>
    </xf>
    <xf numFmtId="1" fontId="63" fillId="33" borderId="0" xfId="0" applyNumberFormat="1" applyFont="1" applyFill="1" applyAlignment="1" applyProtection="1">
      <alignment horizontal="left"/>
      <protection locked="0"/>
    </xf>
    <xf numFmtId="38" fontId="63" fillId="0" borderId="15" xfId="0" applyNumberFormat="1" applyFont="1" applyFill="1" applyBorder="1"/>
    <xf numFmtId="173" fontId="0" fillId="0" borderId="0" xfId="0" applyNumberFormat="1" applyFill="1" applyProtection="1"/>
    <xf numFmtId="173" fontId="8" fillId="0" borderId="0" xfId="86" applyNumberFormat="1" applyFont="1" applyFill="1" applyProtection="1"/>
    <xf numFmtId="173" fontId="0" fillId="0" borderId="11" xfId="0" applyNumberFormat="1" applyFill="1" applyBorder="1" applyProtection="1"/>
    <xf numFmtId="173" fontId="8" fillId="33" borderId="0" xfId="127" applyNumberFormat="1" applyFont="1" applyFill="1" applyProtection="1">
      <protection locked="0"/>
    </xf>
    <xf numFmtId="0" fontId="19" fillId="33" borderId="0" xfId="281" applyFont="1" applyFill="1" applyAlignment="1" applyProtection="1">
      <alignment horizontal="center"/>
      <protection locked="0"/>
    </xf>
    <xf numFmtId="3" fontId="19" fillId="33" borderId="0" xfId="0" applyNumberFormat="1" applyFont="1" applyFill="1" applyAlignment="1" applyProtection="1">
      <protection locked="0"/>
    </xf>
    <xf numFmtId="41" fontId="19" fillId="33" borderId="0" xfId="281" applyNumberFormat="1" applyFont="1" applyFill="1" applyBorder="1" applyProtection="1">
      <protection locked="0"/>
    </xf>
    <xf numFmtId="38" fontId="8" fillId="33" borderId="0" xfId="0" applyNumberFormat="1" applyFont="1" applyFill="1" applyBorder="1" applyProtection="1">
      <protection locked="0"/>
    </xf>
    <xf numFmtId="10" fontId="19" fillId="33" borderId="0" xfId="0" applyNumberFormat="1" applyFont="1" applyFill="1" applyBorder="1" applyAlignment="1" applyProtection="1">
      <protection locked="0"/>
    </xf>
    <xf numFmtId="10" fontId="19" fillId="33" borderId="11" xfId="0" applyNumberFormat="1" applyFont="1" applyFill="1" applyBorder="1" applyAlignment="1" applyProtection="1">
      <protection locked="0"/>
    </xf>
    <xf numFmtId="10" fontId="78" fillId="33" borderId="11" xfId="299" applyNumberFormat="1" applyFont="1" applyFill="1" applyBorder="1" applyProtection="1">
      <protection locked="0"/>
    </xf>
    <xf numFmtId="41" fontId="78" fillId="33" borderId="11" xfId="290" applyNumberFormat="1" applyFont="1" applyFill="1" applyBorder="1" applyProtection="1">
      <protection locked="0"/>
    </xf>
    <xf numFmtId="173" fontId="78" fillId="33" borderId="0" xfId="290" applyNumberFormat="1" applyFont="1" applyFill="1" applyBorder="1" applyProtection="1">
      <protection locked="0"/>
    </xf>
    <xf numFmtId="0" fontId="71" fillId="33" borderId="0" xfId="290" applyFont="1" applyFill="1" applyAlignment="1" applyProtection="1">
      <alignment horizontal="center"/>
      <protection locked="0"/>
    </xf>
    <xf numFmtId="0" fontId="8" fillId="33" borderId="0" xfId="86" applyNumberFormat="1" applyFont="1" applyFill="1" applyAlignment="1" applyProtection="1">
      <protection locked="0"/>
    </xf>
    <xf numFmtId="173" fontId="2" fillId="33" borderId="6" xfId="289" applyNumberFormat="1" applyFont="1" applyFill="1" applyBorder="1" applyAlignment="1" applyProtection="1">
      <alignment horizontal="center"/>
      <protection locked="0"/>
    </xf>
    <xf numFmtId="0" fontId="19" fillId="33" borderId="0" xfId="86" applyNumberFormat="1" applyFont="1" applyFill="1" applyAlignment="1" applyProtection="1">
      <alignment horizontal="left"/>
      <protection locked="0"/>
    </xf>
    <xf numFmtId="173" fontId="161" fillId="33" borderId="18" xfId="86" applyNumberFormat="1" applyFont="1" applyFill="1" applyBorder="1" applyAlignment="1" applyProtection="1">
      <alignment horizontal="right"/>
      <protection locked="0"/>
    </xf>
    <xf numFmtId="0" fontId="161" fillId="33" borderId="18" xfId="0" applyFont="1" applyFill="1" applyBorder="1" applyAlignment="1" applyProtection="1">
      <alignment horizontal="right"/>
      <protection locked="0"/>
    </xf>
    <xf numFmtId="173" fontId="8" fillId="33" borderId="18" xfId="86" applyNumberFormat="1" applyFont="1" applyFill="1" applyBorder="1" applyAlignment="1" applyProtection="1">
      <alignment horizontal="right"/>
      <protection locked="0"/>
    </xf>
    <xf numFmtId="0" fontId="8" fillId="33" borderId="20" xfId="0" applyFont="1" applyFill="1" applyBorder="1" applyAlignment="1" applyProtection="1">
      <alignment horizontal="right"/>
      <protection locked="0"/>
    </xf>
    <xf numFmtId="173" fontId="8" fillId="33" borderId="18" xfId="0" applyNumberFormat="1" applyFont="1" applyFill="1" applyBorder="1" applyAlignment="1" applyProtection="1">
      <alignment horizontal="right"/>
      <protection locked="0"/>
    </xf>
    <xf numFmtId="174" fontId="8" fillId="33" borderId="26" xfId="0" applyNumberFormat="1" applyFont="1" applyFill="1" applyBorder="1" applyProtection="1">
      <protection locked="0"/>
    </xf>
    <xf numFmtId="174" fontId="8" fillId="33" borderId="27" xfId="0" applyNumberFormat="1" applyFont="1" applyFill="1" applyBorder="1" applyProtection="1">
      <protection locked="0"/>
    </xf>
    <xf numFmtId="174" fontId="8" fillId="33" borderId="28" xfId="0" applyNumberFormat="1" applyFont="1" applyFill="1" applyBorder="1" applyProtection="1">
      <protection locked="0"/>
    </xf>
    <xf numFmtId="174" fontId="12" fillId="33" borderId="0" xfId="0" applyNumberFormat="1" applyFont="1" applyFill="1" applyBorder="1" applyProtection="1">
      <protection locked="0"/>
    </xf>
    <xf numFmtId="174" fontId="12" fillId="33" borderId="6" xfId="0" applyNumberFormat="1" applyFont="1" applyFill="1" applyBorder="1" applyProtection="1">
      <protection locked="0"/>
    </xf>
    <xf numFmtId="0" fontId="69" fillId="33" borderId="0" xfId="0" applyFont="1" applyFill="1" applyAlignment="1" applyProtection="1">
      <alignment horizontal="left"/>
      <protection locked="0"/>
    </xf>
    <xf numFmtId="0" fontId="8" fillId="33" borderId="18" xfId="0" applyFont="1" applyFill="1" applyBorder="1" applyAlignment="1" applyProtection="1">
      <alignment horizontal="right"/>
      <protection locked="0"/>
    </xf>
    <xf numFmtId="0" fontId="17" fillId="0" borderId="0" xfId="281" applyFont="1" applyAlignment="1">
      <alignment wrapText="1"/>
    </xf>
    <xf numFmtId="173" fontId="8" fillId="33" borderId="0" xfId="90" applyNumberFormat="1" applyFont="1" applyFill="1" applyBorder="1" applyProtection="1">
      <protection locked="0"/>
    </xf>
    <xf numFmtId="173" fontId="20" fillId="33" borderId="0" xfId="86" applyNumberFormat="1" applyFont="1" applyFill="1" applyProtection="1">
      <protection locked="0"/>
    </xf>
    <xf numFmtId="189" fontId="20" fillId="33" borderId="0" xfId="0" applyNumberFormat="1" applyFont="1" applyFill="1" applyProtection="1">
      <protection locked="0"/>
    </xf>
    <xf numFmtId="0" fontId="0" fillId="33" borderId="0" xfId="0" applyFill="1" applyAlignment="1" applyProtection="1">
      <alignment horizontal="center"/>
      <protection locked="0"/>
    </xf>
    <xf numFmtId="0" fontId="20" fillId="33" borderId="0" xfId="0" applyFont="1" applyFill="1" applyProtection="1">
      <protection locked="0"/>
    </xf>
    <xf numFmtId="170" fontId="123" fillId="33" borderId="28" xfId="0" applyNumberFormat="1" applyFont="1" applyFill="1" applyBorder="1" applyAlignment="1" applyProtection="1">
      <alignment horizontal="center"/>
      <protection locked="0"/>
    </xf>
    <xf numFmtId="176" fontId="123" fillId="33" borderId="0" xfId="302" applyNumberFormat="1" applyFont="1" applyFill="1" applyProtection="1">
      <protection locked="0"/>
    </xf>
    <xf numFmtId="198" fontId="162" fillId="31" borderId="0" xfId="0" applyNumberFormat="1" applyFont="1" applyFill="1" applyAlignment="1">
      <alignment horizontal="right"/>
    </xf>
    <xf numFmtId="41" fontId="8" fillId="33" borderId="11" xfId="282" applyNumberFormat="1" applyFont="1" applyFill="1" applyBorder="1"/>
    <xf numFmtId="173" fontId="8" fillId="0" borderId="0" xfId="127" applyNumberFormat="1" applyFont="1" applyFill="1" applyProtection="1">
      <protection locked="0"/>
    </xf>
    <xf numFmtId="0" fontId="131" fillId="0" borderId="0" xfId="0" applyFont="1" applyAlignment="1">
      <alignment vertical="center"/>
    </xf>
    <xf numFmtId="0" fontId="81" fillId="0" borderId="0" xfId="236" applyNumberFormat="1" applyFont="1" applyFill="1" applyBorder="1" applyAlignment="1">
      <alignment horizontal="center"/>
    </xf>
    <xf numFmtId="173" fontId="78" fillId="0" borderId="0" xfId="290" applyNumberFormat="1" applyFont="1" applyFill="1" applyBorder="1" applyProtection="1">
      <protection locked="0"/>
    </xf>
    <xf numFmtId="0" fontId="71" fillId="0" borderId="0" xfId="290" applyFont="1" applyFill="1" applyAlignment="1" applyProtection="1">
      <alignment horizontal="center"/>
      <protection locked="0"/>
    </xf>
    <xf numFmtId="0" fontId="132" fillId="0" borderId="0" xfId="0" applyNumberFormat="1" applyFont="1" applyAlignment="1">
      <alignment horizontal="center"/>
    </xf>
    <xf numFmtId="172" fontId="12" fillId="0" borderId="0" xfId="287" applyFont="1" applyAlignment="1"/>
    <xf numFmtId="173" fontId="12" fillId="0" borderId="0" xfId="0" applyNumberFormat="1" applyFont="1" applyAlignment="1"/>
    <xf numFmtId="0" fontId="12" fillId="0" borderId="0" xfId="293" applyFont="1"/>
    <xf numFmtId="0" fontId="12" fillId="0" borderId="0" xfId="0" applyNumberFormat="1" applyFont="1" applyAlignment="1">
      <alignment horizontal="center"/>
    </xf>
    <xf numFmtId="173" fontId="12" fillId="0" borderId="14" xfId="90" applyNumberFormat="1" applyFont="1" applyBorder="1"/>
    <xf numFmtId="0" fontId="12" fillId="0" borderId="14" xfId="0" applyNumberFormat="1" applyFont="1" applyBorder="1" applyAlignment="1">
      <alignment horizontal="center"/>
    </xf>
    <xf numFmtId="173" fontId="8" fillId="33" borderId="32" xfId="91" applyNumberFormat="1" applyFont="1" applyFill="1" applyBorder="1" applyAlignment="1">
      <alignment horizontal="right"/>
    </xf>
    <xf numFmtId="173" fontId="8" fillId="33" borderId="0" xfId="91" applyNumberFormat="1" applyFont="1" applyFill="1" applyBorder="1" applyAlignment="1">
      <alignment horizontal="right"/>
    </xf>
    <xf numFmtId="0" fontId="12" fillId="0" borderId="33" xfId="0" applyNumberFormat="1" applyFont="1" applyBorder="1" applyAlignment="1">
      <alignment horizontal="center"/>
    </xf>
    <xf numFmtId="0" fontId="12" fillId="0" borderId="34" xfId="0" applyNumberFormat="1" applyFont="1" applyBorder="1" applyAlignment="1">
      <alignment horizontal="center"/>
    </xf>
    <xf numFmtId="0" fontId="132" fillId="0" borderId="0" xfId="0" applyFont="1" applyAlignment="1"/>
    <xf numFmtId="3" fontId="12" fillId="0" borderId="35" xfId="236" applyNumberFormat="1" applyFont="1" applyFill="1" applyBorder="1" applyAlignment="1">
      <alignment horizontal="center" wrapText="1"/>
    </xf>
    <xf numFmtId="3" fontId="12" fillId="0" borderId="11" xfId="236" applyNumberFormat="1" applyFont="1" applyFill="1" applyBorder="1" applyAlignment="1">
      <alignment horizontal="center" wrapText="1"/>
    </xf>
    <xf numFmtId="3" fontId="12" fillId="0" borderId="33" xfId="236" applyNumberFormat="1" applyFont="1" applyFill="1" applyBorder="1" applyAlignment="1">
      <alignment horizontal="center" wrapText="1"/>
    </xf>
    <xf numFmtId="0" fontId="9" fillId="0" borderId="0" xfId="293" applyFont="1" applyBorder="1" applyAlignment="1">
      <alignment horizontal="center"/>
    </xf>
    <xf numFmtId="0" fontId="9" fillId="0" borderId="32" xfId="293" applyFont="1" applyBorder="1" applyAlignment="1">
      <alignment horizontal="center"/>
    </xf>
    <xf numFmtId="0" fontId="9" fillId="0" borderId="34" xfId="293" applyFont="1" applyBorder="1" applyAlignment="1">
      <alignment horizontal="center"/>
    </xf>
    <xf numFmtId="0" fontId="9" fillId="0" borderId="32" xfId="293" applyFont="1" applyBorder="1" applyAlignment="1">
      <alignment horizontal="center" wrapText="1"/>
    </xf>
    <xf numFmtId="0" fontId="9" fillId="0" borderId="0" xfId="293" applyFont="1" applyBorder="1" applyAlignment="1">
      <alignment horizontal="center" wrapText="1"/>
    </xf>
    <xf numFmtId="0" fontId="9" fillId="0" borderId="34" xfId="293" applyFont="1" applyBorder="1" applyAlignment="1">
      <alignment horizontal="center" wrapText="1"/>
    </xf>
    <xf numFmtId="0" fontId="12" fillId="0" borderId="34" xfId="0" applyNumberFormat="1" applyFont="1" applyBorder="1" applyAlignment="1">
      <alignment horizontal="center" wrapText="1"/>
    </xf>
    <xf numFmtId="0" fontId="12" fillId="0" borderId="36" xfId="0" applyFont="1" applyBorder="1" applyAlignment="1"/>
    <xf numFmtId="0" fontId="12" fillId="0" borderId="2" xfId="0" applyFont="1" applyBorder="1" applyAlignment="1"/>
    <xf numFmtId="0" fontId="12" fillId="0" borderId="37" xfId="0" applyFont="1" applyBorder="1" applyAlignment="1"/>
    <xf numFmtId="0" fontId="9" fillId="0" borderId="2" xfId="293" applyFont="1" applyBorder="1" applyAlignment="1">
      <alignment horizontal="centerContinuous" wrapText="1"/>
    </xf>
    <xf numFmtId="0" fontId="12" fillId="0" borderId="37" xfId="0" applyNumberFormat="1" applyFont="1" applyBorder="1" applyAlignment="1">
      <alignment horizontal="center"/>
    </xf>
    <xf numFmtId="37" fontId="12" fillId="0" borderId="0" xfId="293" applyNumberFormat="1" applyFont="1"/>
    <xf numFmtId="173" fontId="12" fillId="0" borderId="38" xfId="91" applyNumberFormat="1" applyFont="1" applyBorder="1"/>
    <xf numFmtId="173" fontId="12" fillId="0" borderId="14" xfId="91" applyNumberFormat="1" applyFont="1" applyBorder="1"/>
    <xf numFmtId="0" fontId="12" fillId="0" borderId="39" xfId="293" applyFont="1" applyBorder="1" applyAlignment="1">
      <alignment horizontal="right"/>
    </xf>
    <xf numFmtId="0" fontId="12" fillId="0" borderId="40" xfId="0" applyNumberFormat="1" applyFont="1" applyBorder="1" applyAlignment="1">
      <alignment horizontal="center"/>
    </xf>
    <xf numFmtId="0" fontId="12" fillId="0" borderId="35" xfId="293" applyFont="1" applyBorder="1"/>
    <xf numFmtId="0" fontId="12" fillId="0" borderId="32" xfId="293" applyFont="1" applyBorder="1"/>
    <xf numFmtId="0" fontId="12" fillId="0" borderId="32" xfId="293" quotePrefix="1" applyFont="1" applyBorder="1" applyAlignment="1">
      <alignment horizontal="left"/>
    </xf>
    <xf numFmtId="3" fontId="24" fillId="0" borderId="35" xfId="236" applyNumberFormat="1" applyFont="1" applyFill="1" applyBorder="1" applyAlignment="1">
      <alignment horizontal="center" wrapText="1"/>
    </xf>
    <xf numFmtId="3" fontId="24" fillId="0" borderId="11" xfId="236" applyNumberFormat="1" applyFont="1" applyFill="1" applyBorder="1" applyAlignment="1">
      <alignment horizontal="center" wrapText="1"/>
    </xf>
    <xf numFmtId="0" fontId="9" fillId="0" borderId="32" xfId="280" applyFont="1" applyFill="1" applyBorder="1" applyAlignment="1">
      <alignment horizontal="center" wrapText="1"/>
    </xf>
    <xf numFmtId="0" fontId="12" fillId="0" borderId="0" xfId="0" applyFont="1" applyAlignment="1">
      <alignment wrapText="1"/>
    </xf>
    <xf numFmtId="0" fontId="9" fillId="0" borderId="36" xfId="293" applyFont="1" applyBorder="1" applyAlignment="1">
      <alignment horizontal="center" wrapText="1"/>
    </xf>
    <xf numFmtId="0" fontId="12" fillId="0" borderId="37" xfId="0" applyNumberFormat="1" applyFont="1" applyBorder="1" applyAlignment="1">
      <alignment horizontal="center" wrapText="1"/>
    </xf>
    <xf numFmtId="0" fontId="9" fillId="0" borderId="0" xfId="293" applyFont="1" applyAlignment="1">
      <alignment horizontal="centerContinuous"/>
    </xf>
    <xf numFmtId="0" fontId="12" fillId="0" borderId="0" xfId="214" applyFont="1"/>
    <xf numFmtId="0" fontId="9" fillId="0" borderId="0" xfId="293" applyFont="1" applyAlignment="1">
      <alignment horizontal="center"/>
    </xf>
    <xf numFmtId="0" fontId="12" fillId="0" borderId="0" xfId="293" applyFont="1" applyFill="1" applyAlignment="1">
      <alignment horizontal="left"/>
    </xf>
    <xf numFmtId="0" fontId="12" fillId="0" borderId="0" xfId="0" applyFont="1" applyAlignment="1">
      <alignment horizontal="right"/>
    </xf>
    <xf numFmtId="0" fontId="12" fillId="0" borderId="0" xfId="236" applyFont="1" applyFill="1" applyBorder="1" applyAlignment="1">
      <alignment horizontal="left"/>
    </xf>
    <xf numFmtId="0" fontId="17" fillId="0" borderId="0" xfId="236" applyFont="1" applyBorder="1" applyAlignment="1">
      <alignment horizontal="center" vertical="center"/>
    </xf>
    <xf numFmtId="0" fontId="17" fillId="0" borderId="0" xfId="281" applyFont="1" applyAlignment="1">
      <alignment horizontal="center" vertical="center" wrapText="1"/>
    </xf>
    <xf numFmtId="0" fontId="17" fillId="0" borderId="0" xfId="236" quotePrefix="1" applyFont="1" applyBorder="1" applyAlignment="1">
      <alignment horizontal="center" vertical="center" wrapText="1"/>
    </xf>
    <xf numFmtId="0" fontId="17" fillId="0" borderId="0" xfId="236" applyFont="1" applyFill="1" applyBorder="1" applyAlignment="1">
      <alignment horizontal="left" vertical="center"/>
    </xf>
    <xf numFmtId="0" fontId="12" fillId="0" borderId="0" xfId="0" applyFont="1" applyFill="1" applyAlignment="1"/>
    <xf numFmtId="0" fontId="12" fillId="0" borderId="0" xfId="0" applyFont="1" applyFill="1" applyAlignment="1">
      <alignment horizontal="center"/>
    </xf>
    <xf numFmtId="0" fontId="12"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3" fillId="0" borderId="0" xfId="86" applyNumberFormat="1" applyFont="1" applyFill="1" applyAlignment="1" applyProtection="1">
      <alignment horizontal="left"/>
      <protection locked="0"/>
    </xf>
    <xf numFmtId="173" fontId="63" fillId="0" borderId="11" xfId="86" applyNumberFormat="1" applyFont="1" applyFill="1" applyBorder="1" applyAlignment="1" applyProtection="1">
      <alignment horizontal="left"/>
      <protection locked="0"/>
    </xf>
    <xf numFmtId="0" fontId="15" fillId="0" borderId="0" xfId="0" applyFont="1" applyAlignment="1"/>
    <xf numFmtId="0" fontId="15" fillId="0" borderId="0" xfId="0" applyNumberFormat="1" applyFont="1" applyAlignment="1">
      <alignment horizontal="center"/>
    </xf>
    <xf numFmtId="0" fontId="15" fillId="0" borderId="0" xfId="0" applyFont="1" applyAlignment="1">
      <alignment horizontal="right"/>
    </xf>
    <xf numFmtId="0" fontId="96" fillId="0" borderId="0" xfId="293" applyFont="1" applyAlignment="1">
      <alignment horizontal="centerContinuous"/>
    </xf>
    <xf numFmtId="0" fontId="15" fillId="0" borderId="0" xfId="293" applyFont="1" applyFill="1" applyAlignment="1">
      <alignment horizontal="left"/>
    </xf>
    <xf numFmtId="0" fontId="96" fillId="0" borderId="0" xfId="293" applyFont="1" applyAlignment="1">
      <alignment horizontal="center"/>
    </xf>
    <xf numFmtId="0" fontId="9" fillId="0" borderId="41" xfId="293" applyFont="1" applyBorder="1" applyAlignment="1">
      <alignment horizontal="center" wrapText="1"/>
    </xf>
    <xf numFmtId="0" fontId="15" fillId="0" borderId="0" xfId="0" applyFont="1" applyAlignment="1">
      <alignment wrapText="1"/>
    </xf>
    <xf numFmtId="0" fontId="9" fillId="0" borderId="10" xfId="293" applyFont="1" applyBorder="1" applyAlignment="1">
      <alignment horizontal="center"/>
    </xf>
    <xf numFmtId="0" fontId="133" fillId="0" borderId="0" xfId="0" applyFont="1" applyAlignment="1"/>
    <xf numFmtId="3" fontId="24" fillId="0" borderId="33" xfId="236" applyNumberFormat="1" applyFont="1" applyFill="1" applyBorder="1" applyAlignment="1">
      <alignment horizontal="center" wrapText="1"/>
    </xf>
    <xf numFmtId="3" fontId="24" fillId="0" borderId="42" xfId="236" applyNumberFormat="1" applyFont="1" applyFill="1" applyBorder="1" applyAlignment="1">
      <alignment wrapText="1"/>
    </xf>
    <xf numFmtId="173" fontId="8" fillId="30" borderId="0" xfId="117" applyNumberFormat="1" applyFont="1" applyFill="1" applyAlignment="1" applyProtection="1">
      <protection locked="0"/>
    </xf>
    <xf numFmtId="41" fontId="12" fillId="0" borderId="10" xfId="293" applyNumberFormat="1" applyFont="1" applyFill="1" applyBorder="1"/>
    <xf numFmtId="3" fontId="24" fillId="0" borderId="42" xfId="236" applyNumberFormat="1" applyFont="1" applyFill="1" applyBorder="1" applyAlignment="1">
      <alignment horizontal="center" wrapText="1"/>
    </xf>
    <xf numFmtId="0" fontId="15" fillId="0" borderId="0" xfId="293" applyFont="1"/>
    <xf numFmtId="37" fontId="15" fillId="0" borderId="0" xfId="293" applyNumberFormat="1" applyFont="1"/>
    <xf numFmtId="172" fontId="15" fillId="0" borderId="0" xfId="287" applyFont="1" applyAlignment="1"/>
    <xf numFmtId="0" fontId="12" fillId="0" borderId="0" xfId="283" applyFont="1" applyFill="1" applyAlignment="1" applyProtection="1">
      <alignment vertical="top"/>
    </xf>
    <xf numFmtId="0" fontId="133" fillId="0" borderId="0" xfId="0" applyNumberFormat="1" applyFont="1" applyAlignment="1">
      <alignment horizontal="center"/>
    </xf>
    <xf numFmtId="0" fontId="95" fillId="0" borderId="0" xfId="284" applyFont="1" applyFill="1" applyProtection="1"/>
    <xf numFmtId="0" fontId="96" fillId="0" borderId="0" xfId="0" applyFont="1" applyAlignment="1">
      <alignment horizontal="center"/>
    </xf>
    <xf numFmtId="0" fontId="96" fillId="0" borderId="0" xfId="0" quotePrefix="1" applyFont="1" applyAlignment="1">
      <alignment horizontal="center"/>
    </xf>
    <xf numFmtId="0" fontId="9" fillId="0" borderId="0" xfId="284" applyFont="1" applyFill="1" applyAlignment="1" applyProtection="1">
      <alignment horizontal="left"/>
    </xf>
    <xf numFmtId="173" fontId="12" fillId="0" borderId="0" xfId="90" applyNumberFormat="1" applyFont="1" applyFill="1" applyProtection="1"/>
    <xf numFmtId="0" fontId="12" fillId="0" borderId="0" xfId="284" applyFont="1" applyFill="1" applyProtection="1"/>
    <xf numFmtId="0" fontId="12" fillId="0" borderId="0" xfId="208"/>
    <xf numFmtId="0" fontId="12" fillId="0" borderId="0" xfId="284" applyFont="1" applyFill="1" applyAlignment="1" applyProtection="1">
      <alignment horizontal="left"/>
    </xf>
    <xf numFmtId="173" fontId="8" fillId="33" borderId="0" xfId="90" applyNumberFormat="1" applyFont="1" applyFill="1" applyProtection="1">
      <protection locked="0"/>
    </xf>
    <xf numFmtId="0" fontId="12" fillId="0" borderId="0" xfId="283" applyFont="1" applyFill="1" applyAlignment="1" applyProtection="1">
      <alignment horizontal="left"/>
    </xf>
    <xf numFmtId="173" fontId="8" fillId="0" borderId="0" xfId="90" applyNumberFormat="1" applyFont="1" applyFill="1" applyProtection="1">
      <protection locked="0"/>
    </xf>
    <xf numFmtId="0" fontId="12" fillId="0" borderId="0" xfId="208" applyProtection="1"/>
    <xf numFmtId="10" fontId="12" fillId="0" borderId="0" xfId="302" applyNumberFormat="1" applyFont="1" applyFill="1" applyBorder="1" applyProtection="1"/>
    <xf numFmtId="173" fontId="8" fillId="30" borderId="6" xfId="90" applyNumberFormat="1" applyFont="1" applyFill="1" applyBorder="1" applyAlignment="1" applyProtection="1">
      <protection locked="0"/>
    </xf>
    <xf numFmtId="10" fontId="9" fillId="0" borderId="0" xfId="302" applyNumberFormat="1" applyFont="1" applyFill="1" applyBorder="1" applyProtection="1"/>
    <xf numFmtId="0" fontId="9" fillId="0" borderId="0" xfId="284" applyFont="1" applyFill="1" applyProtection="1"/>
    <xf numFmtId="173" fontId="12" fillId="0" borderId="0" xfId="302" applyNumberFormat="1" applyFont="1" applyFill="1" applyBorder="1" applyProtection="1"/>
    <xf numFmtId="10" fontId="9" fillId="0" borderId="43" xfId="302" applyNumberFormat="1" applyFont="1" applyFill="1" applyBorder="1" applyProtection="1"/>
    <xf numFmtId="0" fontId="105" fillId="0" borderId="0" xfId="208" applyFont="1" applyAlignment="1" applyProtection="1">
      <alignment horizontal="center"/>
    </xf>
    <xf numFmtId="0" fontId="15" fillId="0" borderId="0" xfId="284" applyFont="1" applyFill="1" applyProtection="1"/>
    <xf numFmtId="0" fontId="15" fillId="0" borderId="0" xfId="284" applyFont="1" applyProtection="1"/>
    <xf numFmtId="41" fontId="9" fillId="0" borderId="0" xfId="284" applyNumberFormat="1" applyFont="1" applyFill="1" applyBorder="1" applyAlignment="1" applyProtection="1">
      <alignment horizontal="center" wrapText="1"/>
    </xf>
    <xf numFmtId="0" fontId="9" fillId="0" borderId="0" xfId="284" applyFont="1" applyFill="1" applyAlignment="1" applyProtection="1">
      <alignment horizontal="center" wrapText="1"/>
    </xf>
    <xf numFmtId="0" fontId="8" fillId="33" borderId="0" xfId="284" applyFont="1" applyFill="1" applyProtection="1">
      <protection locked="0"/>
    </xf>
    <xf numFmtId="173" fontId="15" fillId="0" borderId="0" xfId="284" applyNumberFormat="1" applyFont="1" applyFill="1" applyProtection="1"/>
    <xf numFmtId="197" fontId="8" fillId="33" borderId="0" xfId="284" applyNumberFormat="1" applyFont="1" applyFill="1" applyProtection="1">
      <protection locked="0"/>
    </xf>
    <xf numFmtId="173" fontId="8" fillId="33" borderId="0" xfId="284" applyNumberFormat="1" applyFont="1" applyFill="1" applyProtection="1">
      <protection locked="0"/>
    </xf>
    <xf numFmtId="0" fontId="85" fillId="33" borderId="0" xfId="284" applyFont="1" applyFill="1" applyProtection="1">
      <protection locked="0"/>
    </xf>
    <xf numFmtId="0" fontId="12" fillId="0" borderId="11" xfId="0" applyFont="1" applyBorder="1" applyProtection="1"/>
    <xf numFmtId="0" fontId="15" fillId="0" borderId="11" xfId="284" applyFont="1" applyFill="1" applyBorder="1" applyProtection="1"/>
    <xf numFmtId="0" fontId="12" fillId="31" borderId="0" xfId="284" applyFont="1" applyFill="1" applyAlignment="1" applyProtection="1">
      <alignment horizontal="left"/>
    </xf>
    <xf numFmtId="41" fontId="12" fillId="0" borderId="0" xfId="302" applyNumberFormat="1" applyFont="1" applyFill="1" applyBorder="1" applyProtection="1"/>
    <xf numFmtId="173" fontId="15" fillId="0" borderId="0" xfId="284" applyNumberFormat="1" applyFont="1" applyProtection="1"/>
    <xf numFmtId="185" fontId="12" fillId="0" borderId="0" xfId="90" applyNumberFormat="1" applyFont="1" applyFill="1" applyBorder="1" applyProtection="1"/>
    <xf numFmtId="10" fontId="15" fillId="0" borderId="0" xfId="302" applyNumberFormat="1" applyFont="1" applyFill="1" applyProtection="1"/>
    <xf numFmtId="173" fontId="12" fillId="0" borderId="0" xfId="90" applyNumberFormat="1" applyFont="1" applyFill="1" applyBorder="1" applyProtection="1"/>
    <xf numFmtId="173" fontId="9" fillId="0" borderId="43" xfId="90" applyNumberFormat="1" applyFont="1" applyFill="1" applyBorder="1" applyProtection="1"/>
    <xf numFmtId="0" fontId="95" fillId="0" borderId="0" xfId="284" applyFont="1" applyFill="1" applyAlignment="1" applyProtection="1">
      <alignment horizontal="left"/>
    </xf>
    <xf numFmtId="0" fontId="15" fillId="0" borderId="0" xfId="284" applyFont="1" applyFill="1" applyAlignment="1" applyProtection="1">
      <alignment horizontal="left"/>
    </xf>
    <xf numFmtId="0" fontId="17" fillId="0" borderId="0" xfId="284" applyFont="1" applyFill="1" applyAlignment="1" applyProtection="1">
      <alignment horizontal="left"/>
    </xf>
    <xf numFmtId="0" fontId="17" fillId="0" borderId="0" xfId="284" applyFont="1" applyFill="1" applyAlignment="1" applyProtection="1">
      <alignment horizontal="center" wrapText="1"/>
    </xf>
    <xf numFmtId="0" fontId="12" fillId="0" borderId="0" xfId="284" applyFill="1" applyProtection="1"/>
    <xf numFmtId="164" fontId="8" fillId="33" borderId="0" xfId="302" applyNumberFormat="1" applyFont="1" applyFill="1" applyAlignment="1" applyProtection="1">
      <alignment horizontal="right" wrapText="1"/>
      <protection locked="0"/>
    </xf>
    <xf numFmtId="44" fontId="8" fillId="33" borderId="0" xfId="131" applyFont="1" applyFill="1" applyAlignment="1" applyProtection="1">
      <alignment horizontal="right" wrapText="1"/>
      <protection locked="0"/>
    </xf>
    <xf numFmtId="41" fontId="8" fillId="0" borderId="0" xfId="284" applyNumberFormat="1" applyFont="1" applyFill="1" applyBorder="1" applyProtection="1"/>
    <xf numFmtId="173" fontId="12" fillId="0" borderId="0" xfId="90" applyNumberFormat="1" applyFill="1" applyProtection="1"/>
    <xf numFmtId="41" fontId="12" fillId="0" borderId="0" xfId="0" applyNumberFormat="1" applyFont="1" applyFill="1" applyProtection="1"/>
    <xf numFmtId="41" fontId="12" fillId="0" borderId="0" xfId="284" applyNumberFormat="1" applyFill="1" applyBorder="1" applyProtection="1"/>
    <xf numFmtId="41" fontId="96" fillId="0" borderId="0" xfId="284" applyNumberFormat="1" applyFont="1" applyFill="1" applyProtection="1"/>
    <xf numFmtId="41" fontId="12" fillId="0" borderId="12" xfId="284" applyNumberFormat="1" applyFont="1" applyFill="1" applyBorder="1" applyProtection="1"/>
    <xf numFmtId="41" fontId="9" fillId="0" borderId="41" xfId="284" applyNumberFormat="1" applyFont="1" applyFill="1" applyBorder="1" applyProtection="1"/>
    <xf numFmtId="0" fontId="9" fillId="0" borderId="0" xfId="284" applyFont="1" applyFill="1" applyBorder="1" applyProtection="1"/>
    <xf numFmtId="0" fontId="9"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3" fillId="0" borderId="0" xfId="0" applyFont="1" applyFill="1" applyAlignment="1">
      <alignment horizontal="center"/>
    </xf>
    <xf numFmtId="3" fontId="0" fillId="0" borderId="0" xfId="0" applyNumberFormat="1" applyFont="1" applyFill="1" applyAlignment="1">
      <alignment horizontal="centerContinuous"/>
    </xf>
    <xf numFmtId="3" fontId="13" fillId="0" borderId="0" xfId="0" applyNumberFormat="1" applyFont="1" applyFill="1" applyAlignment="1">
      <alignment horizontal="centerContinuous"/>
    </xf>
    <xf numFmtId="3" fontId="0" fillId="0" borderId="0" xfId="0" applyNumberFormat="1" applyFill="1" applyAlignment="1">
      <alignment horizontal="centerContinuous"/>
    </xf>
    <xf numFmtId="3" fontId="12" fillId="0" borderId="0" xfId="0" applyNumberFormat="1" applyFont="1" applyFill="1" applyAlignment="1">
      <alignment horizontal="centerContinuous"/>
    </xf>
    <xf numFmtId="3" fontId="0" fillId="0" borderId="44"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4" borderId="0" xfId="0" applyNumberFormat="1" applyFont="1" applyFill="1" applyAlignment="1"/>
    <xf numFmtId="37" fontId="0" fillId="0" borderId="44" xfId="0" applyNumberFormat="1" applyFont="1" applyFill="1" applyBorder="1" applyAlignment="1"/>
    <xf numFmtId="37" fontId="0" fillId="0" borderId="45" xfId="0" applyNumberFormat="1" applyFont="1" applyFill="1" applyBorder="1" applyAlignment="1"/>
    <xf numFmtId="37" fontId="0" fillId="35" borderId="0" xfId="0" applyNumberFormat="1" applyFont="1" applyFill="1" applyAlignment="1"/>
    <xf numFmtId="37" fontId="0" fillId="0" borderId="0" xfId="0" applyNumberFormat="1" applyFill="1" applyAlignment="1"/>
    <xf numFmtId="37" fontId="12" fillId="0" borderId="0" xfId="0" applyNumberFormat="1" applyFont="1" applyFill="1" applyAlignment="1"/>
    <xf numFmtId="37" fontId="0" fillId="0" borderId="46" xfId="0" applyNumberFormat="1" applyFont="1" applyFill="1" applyBorder="1" applyAlignment="1"/>
    <xf numFmtId="37" fontId="12"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3" fillId="0" borderId="0" xfId="0" applyFont="1" applyAlignment="1">
      <alignment horizontal="center"/>
    </xf>
    <xf numFmtId="3" fontId="0" fillId="0" borderId="0" xfId="0" applyNumberFormat="1" applyFont="1" applyAlignment="1">
      <alignment horizontal="centerContinuous"/>
    </xf>
    <xf numFmtId="3" fontId="13"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4"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3" fillId="0" borderId="45" xfId="0" applyNumberFormat="1" applyFont="1" applyFill="1" applyBorder="1" applyAlignment="1"/>
    <xf numFmtId="37" fontId="163" fillId="0" borderId="0" xfId="0" applyNumberFormat="1" applyFont="1" applyFill="1" applyAlignment="1"/>
    <xf numFmtId="186" fontId="12" fillId="0" borderId="0" xfId="281" applyNumberFormat="1" applyFont="1" applyFill="1"/>
    <xf numFmtId="3" fontId="12" fillId="0" borderId="0" xfId="0" applyNumberFormat="1" applyFont="1" applyFill="1" applyAlignment="1">
      <alignment horizontal="center"/>
    </xf>
    <xf numFmtId="4" fontId="12" fillId="0" borderId="0" xfId="0" applyNumberFormat="1" applyFont="1" applyFill="1" applyAlignment="1">
      <alignment horizontal="center"/>
    </xf>
    <xf numFmtId="0" fontId="164" fillId="0" borderId="0" xfId="289" applyNumberFormat="1" applyFont="1" applyFill="1" applyAlignment="1" applyProtection="1">
      <alignment horizontal="center"/>
    </xf>
    <xf numFmtId="172" fontId="165" fillId="0" borderId="0" xfId="289" applyFont="1" applyFill="1" applyAlignment="1" applyProtection="1"/>
    <xf numFmtId="199" fontId="8" fillId="33" borderId="0" xfId="281" applyNumberFormat="1" applyFont="1" applyFill="1" applyProtection="1">
      <protection locked="0"/>
    </xf>
    <xf numFmtId="0" fontId="166" fillId="0" borderId="0" xfId="0" applyFont="1" applyFill="1" applyAlignment="1">
      <alignment horizontal="left"/>
    </xf>
    <xf numFmtId="10" fontId="71" fillId="33" borderId="0" xfId="299" applyNumberFormat="1" applyFont="1" applyFill="1" applyAlignment="1" applyProtection="1">
      <alignment horizontal="center"/>
      <protection locked="0"/>
    </xf>
    <xf numFmtId="10" fontId="71" fillId="33" borderId="0" xfId="290" applyNumberFormat="1" applyFont="1" applyFill="1" applyAlignment="1" applyProtection="1">
      <alignment horizontal="center"/>
      <protection locked="0"/>
    </xf>
    <xf numFmtId="173" fontId="18" fillId="0" borderId="0" xfId="290" applyNumberFormat="1" applyFont="1"/>
    <xf numFmtId="0" fontId="18" fillId="0" borderId="0" xfId="290" applyNumberFormat="1" applyFont="1" applyAlignment="1">
      <alignment horizontal="center" vertical="center"/>
    </xf>
    <xf numFmtId="0" fontId="18" fillId="0" borderId="0" xfId="290" applyNumberFormat="1" applyFont="1" applyAlignment="1">
      <alignment vertical="center"/>
    </xf>
    <xf numFmtId="0" fontId="71" fillId="0" borderId="0" xfId="290" applyFont="1" applyFill="1" applyAlignment="1">
      <alignment horizontal="center"/>
    </xf>
    <xf numFmtId="0" fontId="167" fillId="0" borderId="0" xfId="290" applyFont="1" applyFill="1" applyAlignment="1">
      <alignment horizontal="right"/>
    </xf>
    <xf numFmtId="173" fontId="167" fillId="0" borderId="0" xfId="290" applyNumberFormat="1" applyFont="1" applyFill="1"/>
    <xf numFmtId="0" fontId="18" fillId="0" borderId="0" xfId="290" applyFont="1" applyAlignment="1">
      <alignment horizontal="left" indent="2"/>
    </xf>
    <xf numFmtId="173" fontId="168" fillId="0" borderId="0" xfId="290" applyNumberFormat="1" applyFont="1" applyBorder="1"/>
    <xf numFmtId="173" fontId="168" fillId="0" borderId="0" xfId="290" applyNumberFormat="1" applyFont="1"/>
    <xf numFmtId="0" fontId="138" fillId="0" borderId="0" xfId="290" applyNumberFormat="1" applyFont="1" applyAlignment="1">
      <alignment horizontal="center"/>
    </xf>
    <xf numFmtId="0" fontId="138" fillId="0" borderId="0" xfId="290" applyNumberFormat="1" applyFont="1"/>
    <xf numFmtId="0" fontId="139" fillId="0" borderId="0" xfId="290" applyFont="1"/>
    <xf numFmtId="0" fontId="138" fillId="0" borderId="0" xfId="290" applyFont="1" applyFill="1" applyBorder="1"/>
    <xf numFmtId="0" fontId="138" fillId="0" borderId="0" xfId="290" applyFont="1"/>
    <xf numFmtId="173" fontId="138" fillId="0" borderId="0" xfId="290" applyNumberFormat="1" applyFont="1" applyBorder="1"/>
    <xf numFmtId="173" fontId="138" fillId="0" borderId="0" xfId="290" applyNumberFormat="1" applyFont="1" applyFill="1" applyBorder="1"/>
    <xf numFmtId="0" fontId="5" fillId="0" borderId="0" xfId="289" applyNumberFormat="1" applyFont="1" applyFill="1" applyAlignment="1" applyProtection="1">
      <alignment horizontal="left" wrapText="1"/>
    </xf>
    <xf numFmtId="0" fontId="169" fillId="0" borderId="11" xfId="290" applyNumberFormat="1" applyFont="1" applyFill="1" applyBorder="1" applyAlignment="1">
      <alignment horizontal="center"/>
    </xf>
    <xf numFmtId="0" fontId="169" fillId="0" borderId="2" xfId="290" applyNumberFormat="1" applyFont="1" applyFill="1" applyBorder="1" applyAlignment="1">
      <alignment horizontal="center"/>
    </xf>
    <xf numFmtId="0" fontId="74" fillId="0" borderId="0" xfId="290" applyFont="1" applyFill="1" applyAlignment="1">
      <alignment horizontal="center" vertical="center"/>
    </xf>
    <xf numFmtId="0" fontId="18" fillId="0" borderId="11" xfId="290" applyNumberFormat="1" applyFont="1" applyBorder="1" applyAlignment="1">
      <alignment horizontal="center"/>
    </xf>
    <xf numFmtId="0" fontId="18" fillId="0" borderId="11" xfId="290" applyNumberFormat="1" applyFont="1" applyBorder="1"/>
    <xf numFmtId="0" fontId="18" fillId="0" borderId="11" xfId="290" applyFont="1" applyBorder="1"/>
    <xf numFmtId="173" fontId="78" fillId="0" borderId="11" xfId="290" applyNumberFormat="1" applyFont="1" applyFill="1" applyBorder="1" applyProtection="1">
      <protection locked="0"/>
    </xf>
    <xf numFmtId="173" fontId="71" fillId="0" borderId="11" xfId="290" applyNumberFormat="1" applyFont="1" applyFill="1" applyBorder="1"/>
    <xf numFmtId="0" fontId="71" fillId="0" borderId="11" xfId="290" applyFont="1" applyFill="1" applyBorder="1" applyAlignment="1" applyProtection="1">
      <alignment horizontal="center"/>
      <protection locked="0"/>
    </xf>
    <xf numFmtId="173" fontId="71" fillId="0" borderId="11" xfId="86" applyNumberFormat="1" applyFont="1" applyFill="1" applyBorder="1" applyAlignment="1" applyProtection="1">
      <alignment horizontal="center"/>
      <protection locked="0"/>
    </xf>
    <xf numFmtId="0" fontId="140" fillId="0" borderId="0" xfId="289" applyNumberFormat="1" applyFont="1" applyFill="1" applyAlignment="1" applyProtection="1">
      <alignment horizontal="center"/>
    </xf>
    <xf numFmtId="172" fontId="164" fillId="0" borderId="0" xfId="289" applyFont="1" applyFill="1" applyAlignment="1" applyProtection="1"/>
    <xf numFmtId="0" fontId="8" fillId="33" borderId="0" xfId="91" applyNumberFormat="1" applyFont="1" applyFill="1" applyBorder="1" applyAlignment="1" applyProtection="1">
      <alignment horizontal="center"/>
      <protection locked="0"/>
    </xf>
    <xf numFmtId="41" fontId="8" fillId="33" borderId="0" xfId="283" applyNumberFormat="1" applyFont="1" applyFill="1"/>
    <xf numFmtId="172" fontId="6" fillId="0" borderId="0" xfId="289" applyFont="1" applyFill="1" applyAlignment="1" applyProtection="1">
      <alignment horizontal="center"/>
    </xf>
    <xf numFmtId="3" fontId="6" fillId="0" borderId="0" xfId="289" applyNumberFormat="1" applyFont="1" applyFill="1" applyAlignment="1" applyProtection="1">
      <alignment horizontal="center" vertical="center"/>
    </xf>
    <xf numFmtId="0" fontId="3" fillId="0" borderId="0" xfId="289" applyNumberFormat="1" applyFont="1" applyFill="1" applyBorder="1" applyAlignment="1" applyProtection="1">
      <alignment horizontal="center"/>
    </xf>
    <xf numFmtId="3" fontId="14" fillId="0" borderId="0" xfId="289" applyNumberFormat="1" applyFont="1" applyFill="1" applyAlignment="1" applyProtection="1">
      <alignment horizontal="center"/>
    </xf>
    <xf numFmtId="0" fontId="3" fillId="0" borderId="6" xfId="289" applyNumberFormat="1" applyFont="1" applyFill="1" applyBorder="1" applyAlignment="1" applyProtection="1">
      <alignment horizontal="center"/>
    </xf>
    <xf numFmtId="0" fontId="5" fillId="0" borderId="0" xfId="289" applyNumberFormat="1" applyFont="1" applyFill="1" applyBorder="1" applyAlignment="1" applyProtection="1">
      <alignment vertical="center"/>
    </xf>
    <xf numFmtId="41" fontId="5" fillId="0" borderId="40" xfId="289" applyNumberFormat="1" applyFont="1" applyFill="1" applyBorder="1" applyAlignment="1" applyProtection="1"/>
    <xf numFmtId="0" fontId="12" fillId="0" borderId="0" xfId="0" applyFont="1" applyFill="1" applyAlignment="1" applyProtection="1">
      <alignment horizontal="center"/>
    </xf>
    <xf numFmtId="0" fontId="12" fillId="0" borderId="0" xfId="0" applyFont="1" applyFill="1" applyAlignment="1" applyProtection="1">
      <alignment horizontal="center" wrapText="1"/>
    </xf>
    <xf numFmtId="0" fontId="5" fillId="0" borderId="0" xfId="0" applyFont="1" applyFill="1" applyAlignment="1" applyProtection="1">
      <alignment horizontal="center"/>
    </xf>
    <xf numFmtId="0" fontId="63" fillId="0" borderId="0" xfId="0" applyFont="1" applyFill="1" applyProtection="1"/>
    <xf numFmtId="3" fontId="9" fillId="0" borderId="0" xfId="0" applyNumberFormat="1" applyFont="1" applyFill="1" applyAlignment="1">
      <alignment horizontal="left"/>
    </xf>
    <xf numFmtId="3" fontId="12" fillId="0" borderId="0" xfId="0" applyNumberFormat="1" applyFont="1" applyFill="1" applyAlignment="1"/>
    <xf numFmtId="37" fontId="12" fillId="0" borderId="0" xfId="0" applyNumberFormat="1" applyFont="1"/>
    <xf numFmtId="0" fontId="12" fillId="0" borderId="0" xfId="0" applyFont="1" applyFill="1" applyAlignment="1" applyProtection="1">
      <alignment horizontal="left"/>
    </xf>
    <xf numFmtId="0" fontId="13" fillId="0" borderId="0" xfId="0" applyFont="1" applyFill="1" applyAlignment="1" applyProtection="1">
      <alignment horizontal="left"/>
    </xf>
    <xf numFmtId="0" fontId="12" fillId="0" borderId="0" xfId="0" applyFont="1" applyFill="1" applyAlignment="1" applyProtection="1">
      <alignment vertical="top"/>
    </xf>
    <xf numFmtId="0" fontId="12" fillId="0" borderId="0" xfId="0" applyFont="1" applyFill="1" applyAlignment="1" applyProtection="1">
      <alignment vertical="top" wrapText="1"/>
    </xf>
    <xf numFmtId="0" fontId="108" fillId="0" borderId="0" xfId="0" applyFont="1" applyFill="1" applyAlignment="1" applyProtection="1">
      <alignment horizontal="center"/>
    </xf>
    <xf numFmtId="0" fontId="12" fillId="0" borderId="0" xfId="294" applyFont="1" applyFill="1" applyAlignment="1" applyProtection="1">
      <alignment horizontal="center"/>
    </xf>
    <xf numFmtId="38" fontId="8" fillId="0" borderId="0" xfId="0" applyNumberFormat="1" applyFont="1" applyFill="1" applyBorder="1" applyProtection="1">
      <protection locked="0"/>
    </xf>
    <xf numFmtId="0" fontId="6" fillId="0" borderId="0" xfId="282" applyFont="1" applyFill="1" applyBorder="1"/>
    <xf numFmtId="0" fontId="73" fillId="0" borderId="0" xfId="290" applyFont="1" applyFill="1" applyAlignment="1">
      <alignment vertical="center" wrapText="1"/>
    </xf>
    <xf numFmtId="0" fontId="6" fillId="0" borderId="0" xfId="281" quotePrefix="1" applyFont="1" applyFill="1" applyBorder="1" applyAlignment="1">
      <alignment horizontal="center"/>
    </xf>
    <xf numFmtId="0" fontId="4" fillId="0" borderId="11" xfId="290" applyNumberFormat="1" applyFont="1" applyFill="1" applyBorder="1" applyAlignment="1">
      <alignment horizontal="center" wrapText="1"/>
    </xf>
    <xf numFmtId="0" fontId="4" fillId="0" borderId="11" xfId="290" applyNumberFormat="1" applyFont="1" applyFill="1" applyBorder="1" applyAlignment="1">
      <alignment horizontal="center" vertical="center"/>
    </xf>
    <xf numFmtId="184" fontId="4" fillId="0" borderId="11" xfId="290" applyNumberFormat="1" applyFont="1" applyFill="1" applyBorder="1" applyAlignment="1">
      <alignment horizontal="center" vertical="center" wrapText="1"/>
    </xf>
    <xf numFmtId="0" fontId="4" fillId="0" borderId="11" xfId="290" applyNumberFormat="1" applyFont="1" applyFill="1" applyBorder="1" applyAlignment="1">
      <alignment horizontal="center" vertical="center" wrapText="1"/>
    </xf>
    <xf numFmtId="184" fontId="4" fillId="0" borderId="11" xfId="290" applyNumberFormat="1" applyFont="1" applyFill="1" applyBorder="1" applyAlignment="1">
      <alignment horizontal="center" vertical="center"/>
    </xf>
    <xf numFmtId="0" fontId="12" fillId="0" borderId="0" xfId="0" applyFont="1" applyFill="1" applyAlignment="1">
      <alignment vertical="center"/>
    </xf>
    <xf numFmtId="173" fontId="4" fillId="0" borderId="11" xfId="290" applyNumberFormat="1" applyFont="1" applyFill="1" applyBorder="1" applyAlignment="1">
      <alignment vertical="center"/>
    </xf>
    <xf numFmtId="173" fontId="74" fillId="0" borderId="0" xfId="290" applyNumberFormat="1" applyFont="1" applyFill="1" applyBorder="1" applyAlignment="1">
      <alignment vertical="center"/>
    </xf>
    <xf numFmtId="0" fontId="4" fillId="0" borderId="0" xfId="290" applyFont="1" applyFill="1" applyAlignment="1">
      <alignment horizontal="right" vertical="center"/>
    </xf>
    <xf numFmtId="0" fontId="71" fillId="0" borderId="0" xfId="290" applyFont="1" applyFill="1" applyAlignment="1">
      <alignment wrapText="1"/>
    </xf>
    <xf numFmtId="0" fontId="12" fillId="0" borderId="0" xfId="285" applyFont="1" applyFill="1" applyAlignment="1" applyProtection="1">
      <alignment horizontal="left"/>
    </xf>
    <xf numFmtId="0" fontId="12" fillId="0" borderId="0" xfId="208" applyFont="1" applyFill="1" applyAlignment="1" applyProtection="1">
      <alignment wrapText="1"/>
    </xf>
    <xf numFmtId="0" fontId="12" fillId="0" borderId="0" xfId="208" applyFont="1" applyFill="1" applyProtection="1"/>
    <xf numFmtId="173" fontId="71" fillId="0" borderId="0" xfId="86" applyNumberFormat="1" applyFont="1" applyFill="1" applyAlignment="1" applyProtection="1">
      <alignment horizontal="center"/>
      <protection locked="0"/>
    </xf>
    <xf numFmtId="173" fontId="12" fillId="0" borderId="0" xfId="290" applyNumberFormat="1" applyFont="1" applyFill="1"/>
    <xf numFmtId="0" fontId="111" fillId="0" borderId="0" xfId="292" applyFont="1" applyProtection="1">
      <protection locked="0"/>
    </xf>
    <xf numFmtId="0" fontId="77" fillId="0" borderId="0" xfId="292" applyFont="1"/>
    <xf numFmtId="0" fontId="112" fillId="0" borderId="0" xfId="292" applyFont="1" applyAlignment="1">
      <alignment horizontal="center"/>
    </xf>
    <xf numFmtId="0" fontId="113" fillId="0" borderId="0" xfId="292" applyFont="1" applyProtection="1">
      <protection locked="0"/>
    </xf>
    <xf numFmtId="176" fontId="112" fillId="0" borderId="0" xfId="292" applyNumberFormat="1" applyFont="1" applyAlignment="1">
      <alignment horizontal="center"/>
    </xf>
    <xf numFmtId="0" fontId="112" fillId="0" borderId="0" xfId="292" applyFont="1"/>
    <xf numFmtId="0" fontId="3" fillId="0" borderId="0" xfId="292"/>
    <xf numFmtId="176" fontId="3" fillId="0" borderId="0" xfId="292" applyNumberFormat="1"/>
    <xf numFmtId="0" fontId="114" fillId="0" borderId="0" xfId="292" applyFont="1" applyProtection="1">
      <protection locked="0"/>
    </xf>
    <xf numFmtId="176" fontId="111" fillId="0" borderId="0" xfId="292" applyNumberFormat="1" applyFont="1" applyProtection="1">
      <protection locked="0"/>
    </xf>
    <xf numFmtId="0" fontId="115" fillId="0" borderId="16" xfId="292" applyFont="1" applyBorder="1"/>
    <xf numFmtId="0" fontId="111" fillId="0" borderId="16" xfId="292" applyFont="1" applyBorder="1" applyProtection="1">
      <protection locked="0"/>
    </xf>
    <xf numFmtId="0" fontId="116" fillId="0" borderId="0" xfId="292" applyFont="1" applyProtection="1">
      <protection locked="0"/>
    </xf>
    <xf numFmtId="0" fontId="118" fillId="0" borderId="0" xfId="292" applyFont="1"/>
    <xf numFmtId="0" fontId="142" fillId="0" borderId="0" xfId="292" applyFont="1" applyAlignment="1">
      <alignment horizontal="center"/>
    </xf>
    <xf numFmtId="0" fontId="3" fillId="0" borderId="0" xfId="292" applyAlignment="1">
      <alignment horizontal="center"/>
    </xf>
    <xf numFmtId="0" fontId="12" fillId="0" borderId="31" xfId="0" applyNumberFormat="1" applyFont="1" applyBorder="1" applyAlignment="1">
      <alignment horizontal="center"/>
    </xf>
    <xf numFmtId="0" fontId="12" fillId="0" borderId="38" xfId="293" applyFont="1" applyBorder="1" applyAlignment="1">
      <alignment horizontal="right"/>
    </xf>
    <xf numFmtId="0" fontId="144" fillId="0" borderId="0" xfId="0" applyFont="1" applyAlignment="1">
      <alignment vertical="center"/>
    </xf>
    <xf numFmtId="0" fontId="145" fillId="0" borderId="0" xfId="0" applyFont="1"/>
    <xf numFmtId="0" fontId="140" fillId="0" borderId="0" xfId="0" applyFont="1" applyAlignment="1"/>
    <xf numFmtId="0" fontId="140" fillId="0" borderId="0" xfId="0" applyFont="1" applyAlignment="1">
      <alignment horizontal="left"/>
    </xf>
    <xf numFmtId="0" fontId="140" fillId="0" borderId="0" xfId="236" applyFont="1" applyBorder="1" applyAlignment="1">
      <alignment horizontal="center"/>
    </xf>
    <xf numFmtId="0" fontId="145" fillId="0" borderId="0" xfId="0" applyFont="1" applyAlignment="1">
      <alignment horizontal="center"/>
    </xf>
    <xf numFmtId="0" fontId="146" fillId="0" borderId="0" xfId="236" applyFont="1" applyBorder="1" applyAlignment="1"/>
    <xf numFmtId="0" fontId="140" fillId="0" borderId="0" xfId="236" applyFont="1" applyBorder="1" applyAlignment="1">
      <alignment horizontal="left"/>
    </xf>
    <xf numFmtId="0" fontId="140" fillId="0" borderId="0" xfId="236" applyFont="1" applyBorder="1" applyAlignment="1"/>
    <xf numFmtId="3" fontId="140" fillId="0" borderId="0" xfId="0" applyNumberFormat="1" applyFont="1" applyAlignment="1"/>
    <xf numFmtId="3" fontId="140" fillId="0" borderId="0" xfId="0" applyNumberFormat="1" applyFont="1" applyAlignment="1">
      <alignment horizontal="left"/>
    </xf>
    <xf numFmtId="0" fontId="147" fillId="0" borderId="0" xfId="0" applyFont="1" applyAlignment="1">
      <alignment horizontal="center"/>
    </xf>
    <xf numFmtId="0" fontId="148" fillId="0" borderId="0" xfId="0" applyFont="1" applyAlignment="1"/>
    <xf numFmtId="0" fontId="147" fillId="0" borderId="0" xfId="0" applyFont="1" applyAlignment="1">
      <alignment wrapText="1"/>
    </xf>
    <xf numFmtId="0" fontId="147" fillId="0" borderId="0" xfId="0" applyFont="1"/>
    <xf numFmtId="41" fontId="145" fillId="0" borderId="0" xfId="0" applyNumberFormat="1" applyFont="1"/>
    <xf numFmtId="41" fontId="148" fillId="0" borderId="0" xfId="0" applyNumberFormat="1" applyFont="1" applyAlignment="1"/>
    <xf numFmtId="0" fontId="149" fillId="0" borderId="0" xfId="0" applyFont="1" applyAlignment="1">
      <alignment horizontal="center"/>
    </xf>
    <xf numFmtId="0" fontId="150" fillId="0" borderId="0" xfId="0" applyFont="1" applyFill="1" applyAlignment="1">
      <alignment horizontal="center"/>
    </xf>
    <xf numFmtId="0" fontId="151" fillId="0" borderId="0" xfId="0" applyFont="1" applyAlignment="1">
      <alignment horizontal="center"/>
    </xf>
    <xf numFmtId="0" fontId="148" fillId="0" borderId="0" xfId="0" applyFont="1" applyFill="1"/>
    <xf numFmtId="41" fontId="145" fillId="0" borderId="0" xfId="0" applyNumberFormat="1" applyFont="1" applyAlignment="1"/>
    <xf numFmtId="173" fontId="145" fillId="0" borderId="0" xfId="0" applyNumberFormat="1" applyFont="1"/>
    <xf numFmtId="0" fontId="145" fillId="0" borderId="0" xfId="0" applyFont="1" applyAlignment="1">
      <alignment wrapText="1"/>
    </xf>
    <xf numFmtId="0" fontId="145" fillId="0" borderId="0" xfId="0" applyFont="1" applyAlignment="1"/>
    <xf numFmtId="0" fontId="145" fillId="0" borderId="11" xfId="0" applyFont="1" applyBorder="1"/>
    <xf numFmtId="0" fontId="148" fillId="0" borderId="11" xfId="0" applyFont="1" applyFill="1" applyBorder="1"/>
    <xf numFmtId="0" fontId="148" fillId="0" borderId="11" xfId="0" applyFont="1" applyBorder="1" applyAlignment="1"/>
    <xf numFmtId="0" fontId="145" fillId="0" borderId="11" xfId="0" applyFont="1" applyBorder="1" applyAlignment="1"/>
    <xf numFmtId="41" fontId="148" fillId="0" borderId="0" xfId="0" applyNumberFormat="1" applyFont="1" applyFill="1"/>
    <xf numFmtId="0" fontId="148" fillId="0" borderId="0" xfId="0" applyFont="1" applyAlignment="1">
      <alignment horizontal="center"/>
    </xf>
    <xf numFmtId="191" fontId="148" fillId="0" borderId="0" xfId="119" applyNumberFormat="1" applyFont="1" applyAlignment="1">
      <alignment horizontal="center"/>
    </xf>
    <xf numFmtId="0" fontId="145" fillId="0" borderId="0" xfId="0" applyFont="1" applyBorder="1"/>
    <xf numFmtId="173" fontId="145" fillId="0" borderId="14" xfId="0" applyNumberFormat="1" applyFont="1" applyBorder="1"/>
    <xf numFmtId="173" fontId="148" fillId="0" borderId="14" xfId="0" applyNumberFormat="1" applyFont="1" applyFill="1" applyBorder="1"/>
    <xf numFmtId="41" fontId="145" fillId="0" borderId="14" xfId="0" applyNumberFormat="1" applyFont="1" applyBorder="1" applyAlignment="1"/>
    <xf numFmtId="43" fontId="148" fillId="0" borderId="0" xfId="0" applyNumberFormat="1" applyFont="1" applyAlignment="1"/>
    <xf numFmtId="0" fontId="148" fillId="0" borderId="0" xfId="0" applyFont="1" applyAlignment="1">
      <alignment wrapText="1"/>
    </xf>
    <xf numFmtId="0" fontId="153" fillId="0" borderId="0" xfId="0" applyFont="1" applyAlignment="1">
      <alignment horizontal="center" wrapText="1"/>
    </xf>
    <xf numFmtId="173" fontId="145" fillId="0" borderId="0" xfId="0" applyNumberFormat="1" applyFont="1" applyAlignment="1">
      <alignment wrapText="1"/>
    </xf>
    <xf numFmtId="0" fontId="147" fillId="0" borderId="0" xfId="0" applyFont="1" applyAlignment="1">
      <alignment horizontal="center" wrapText="1"/>
    </xf>
    <xf numFmtId="43" fontId="147" fillId="0" borderId="0" xfId="119" applyFont="1" applyAlignment="1">
      <alignment horizontal="center" wrapText="1"/>
    </xf>
    <xf numFmtId="173" fontId="145" fillId="0" borderId="0" xfId="0" applyNumberFormat="1" applyFont="1" applyBorder="1"/>
    <xf numFmtId="173" fontId="145" fillId="0" borderId="0" xfId="119" applyNumberFormat="1" applyFont="1"/>
    <xf numFmtId="173" fontId="145" fillId="33" borderId="0" xfId="119" applyNumberFormat="1" applyFont="1" applyFill="1" applyProtection="1">
      <protection locked="0"/>
    </xf>
    <xf numFmtId="173" fontId="147" fillId="0" borderId="0" xfId="119" applyNumberFormat="1" applyFont="1" applyAlignment="1">
      <alignment horizontal="center" wrapText="1"/>
    </xf>
    <xf numFmtId="173" fontId="147" fillId="0" borderId="0" xfId="119" applyNumberFormat="1" applyFont="1"/>
    <xf numFmtId="173" fontId="147" fillId="0" borderId="0" xfId="119" applyNumberFormat="1" applyFont="1" applyAlignment="1">
      <alignment horizontal="center"/>
    </xf>
    <xf numFmtId="173" fontId="145" fillId="0" borderId="11" xfId="0" applyNumberFormat="1" applyFont="1" applyBorder="1"/>
    <xf numFmtId="0" fontId="5" fillId="0" borderId="0" xfId="289" applyNumberFormat="1" applyFont="1" applyFill="1" applyAlignment="1" applyProtection="1">
      <alignment horizontal="left" indent="4"/>
    </xf>
    <xf numFmtId="41" fontId="19" fillId="0" borderId="0" xfId="289" applyNumberFormat="1" applyFont="1" applyFill="1" applyAlignment="1" applyProtection="1">
      <protection locked="0"/>
    </xf>
    <xf numFmtId="173" fontId="8" fillId="33" borderId="0" xfId="117" applyNumberFormat="1" applyFont="1" applyFill="1" applyAlignment="1" applyProtection="1">
      <protection locked="0"/>
    </xf>
    <xf numFmtId="0" fontId="12" fillId="33" borderId="0" xfId="236" applyFont="1" applyFill="1" applyBorder="1" applyProtection="1">
      <protection locked="0"/>
    </xf>
    <xf numFmtId="1" fontId="63" fillId="33" borderId="0" xfId="0" quotePrefix="1" applyNumberFormat="1" applyFont="1" applyFill="1" applyAlignment="1" applyProtection="1">
      <alignment horizontal="left"/>
      <protection locked="0"/>
    </xf>
    <xf numFmtId="0" fontId="19" fillId="33" borderId="0" xfId="283" applyFont="1" applyFill="1" applyAlignment="1" applyProtection="1">
      <alignment horizontal="center"/>
      <protection locked="0"/>
    </xf>
    <xf numFmtId="41" fontId="19" fillId="33" borderId="0" xfId="283" applyNumberFormat="1" applyFont="1" applyFill="1" applyBorder="1" applyProtection="1">
      <protection locked="0"/>
    </xf>
    <xf numFmtId="173" fontId="12" fillId="0" borderId="0" xfId="90" applyNumberFormat="1" applyFont="1" applyProtection="1"/>
    <xf numFmtId="173" fontId="12" fillId="0" borderId="0" xfId="90" applyNumberFormat="1" applyFont="1" applyBorder="1" applyProtection="1"/>
    <xf numFmtId="0" fontId="19" fillId="33" borderId="0" xfId="90" applyNumberFormat="1" applyFont="1" applyFill="1" applyAlignment="1" applyProtection="1">
      <alignment horizontal="left"/>
      <protection locked="0"/>
    </xf>
    <xf numFmtId="173" fontId="9" fillId="0" borderId="25" xfId="90" applyNumberFormat="1" applyFont="1" applyBorder="1" applyProtection="1"/>
    <xf numFmtId="0" fontId="5" fillId="0" borderId="0" xfId="90" applyNumberFormat="1" applyFont="1" applyFill="1" applyAlignment="1" applyProtection="1">
      <alignment horizontal="left"/>
    </xf>
    <xf numFmtId="0" fontId="5" fillId="0" borderId="0" xfId="90" applyNumberFormat="1" applyFont="1" applyFill="1" applyBorder="1" applyAlignment="1" applyProtection="1">
      <alignment horizontal="left"/>
    </xf>
    <xf numFmtId="0" fontId="6" fillId="0" borderId="0" xfId="90" applyNumberFormat="1" applyFont="1" applyFill="1" applyBorder="1" applyAlignment="1" applyProtection="1">
      <alignment horizontal="left"/>
    </xf>
    <xf numFmtId="173" fontId="9" fillId="0" borderId="29" xfId="90" applyNumberFormat="1" applyFont="1" applyBorder="1" applyProtection="1"/>
    <xf numFmtId="173" fontId="9" fillId="0" borderId="19" xfId="90" applyNumberFormat="1" applyFont="1" applyBorder="1" applyProtection="1"/>
    <xf numFmtId="173" fontId="12" fillId="0" borderId="6" xfId="90" applyNumberFormat="1" applyFont="1" applyBorder="1" applyProtection="1"/>
    <xf numFmtId="173" fontId="12" fillId="0" borderId="20" xfId="90" applyNumberFormat="1" applyFont="1" applyBorder="1" applyProtection="1"/>
    <xf numFmtId="173" fontId="161" fillId="33" borderId="18" xfId="90" applyNumberFormat="1" applyFont="1" applyFill="1" applyBorder="1" applyAlignment="1" applyProtection="1">
      <alignment horizontal="right"/>
      <protection locked="0"/>
    </xf>
    <xf numFmtId="0" fontId="0" fillId="0" borderId="0" xfId="0" applyFill="1" applyAlignment="1" applyProtection="1">
      <alignment wrapText="1"/>
    </xf>
    <xf numFmtId="173" fontId="9" fillId="0" borderId="0" xfId="90" applyNumberFormat="1" applyFont="1" applyBorder="1" applyAlignment="1" applyProtection="1">
      <alignment horizontal="center" wrapText="1"/>
    </xf>
    <xf numFmtId="173" fontId="9" fillId="0" borderId="26" xfId="90" applyNumberFormat="1" applyFont="1" applyBorder="1" applyAlignment="1" applyProtection="1">
      <alignment horizontal="center" wrapText="1"/>
    </xf>
    <xf numFmtId="173" fontId="9" fillId="0" borderId="25" xfId="90" applyNumberFormat="1" applyFont="1" applyBorder="1" applyAlignment="1" applyProtection="1">
      <alignment horizontal="center" wrapText="1"/>
    </xf>
    <xf numFmtId="173" fontId="9" fillId="29" borderId="26" xfId="90" applyNumberFormat="1" applyFont="1" applyFill="1" applyBorder="1" applyAlignment="1" applyProtection="1">
      <alignment horizontal="center" wrapText="1"/>
    </xf>
    <xf numFmtId="173" fontId="9" fillId="0" borderId="28" xfId="90" applyNumberFormat="1" applyFont="1" applyBorder="1" applyAlignment="1" applyProtection="1">
      <alignment horizontal="center"/>
    </xf>
    <xf numFmtId="173" fontId="9" fillId="0" borderId="20" xfId="90" applyNumberFormat="1" applyFont="1" applyBorder="1" applyAlignment="1" applyProtection="1">
      <alignment horizontal="center"/>
    </xf>
    <xf numFmtId="173" fontId="9" fillId="29" borderId="28" xfId="90" applyNumberFormat="1" applyFont="1" applyFill="1" applyBorder="1" applyAlignment="1" applyProtection="1">
      <alignment horizontal="center"/>
    </xf>
    <xf numFmtId="173" fontId="12" fillId="0" borderId="27" xfId="90" applyNumberFormat="1" applyFont="1" applyBorder="1" applyProtection="1"/>
    <xf numFmtId="173" fontId="12" fillId="0" borderId="27" xfId="100" applyNumberFormat="1" applyFont="1" applyFill="1" applyBorder="1" applyProtection="1"/>
    <xf numFmtId="173" fontId="12" fillId="0" borderId="18" xfId="100" applyNumberFormat="1" applyFont="1" applyFill="1" applyBorder="1" applyProtection="1"/>
    <xf numFmtId="173" fontId="12" fillId="0" borderId="18" xfId="90" applyNumberFormat="1" applyFont="1" applyBorder="1" applyProtection="1"/>
    <xf numFmtId="174" fontId="161" fillId="33" borderId="27" xfId="0" applyNumberFormat="1" applyFont="1" applyFill="1" applyBorder="1" applyProtection="1">
      <protection locked="0"/>
    </xf>
    <xf numFmtId="173" fontId="12" fillId="31" borderId="0" xfId="0" applyNumberFormat="1" applyFont="1" applyFill="1" applyBorder="1" applyProtection="1"/>
    <xf numFmtId="173" fontId="12" fillId="31" borderId="27" xfId="0" applyNumberFormat="1" applyFont="1" applyFill="1" applyBorder="1" applyProtection="1"/>
    <xf numFmtId="173" fontId="12" fillId="31" borderId="27" xfId="90" applyNumberFormat="1" applyFont="1" applyFill="1" applyBorder="1" applyProtection="1"/>
    <xf numFmtId="173" fontId="12" fillId="31" borderId="18" xfId="90" applyNumberFormat="1" applyFont="1" applyFill="1" applyBorder="1" applyProtection="1"/>
    <xf numFmtId="174" fontId="12" fillId="31" borderId="27" xfId="0" applyNumberFormat="1" applyFont="1" applyFill="1" applyBorder="1" applyProtection="1"/>
    <xf numFmtId="173" fontId="12" fillId="0" borderId="27" xfId="90" applyNumberFormat="1" applyFont="1" applyFill="1" applyBorder="1" applyProtection="1"/>
    <xf numFmtId="173" fontId="12" fillId="0" borderId="28" xfId="90" applyNumberFormat="1" applyFont="1" applyBorder="1" applyProtection="1"/>
    <xf numFmtId="0" fontId="22" fillId="0" borderId="0" xfId="0" applyFont="1" applyProtection="1"/>
    <xf numFmtId="173" fontId="12" fillId="0" borderId="26" xfId="90" applyNumberFormat="1" applyFont="1" applyBorder="1" applyProtection="1"/>
    <xf numFmtId="41" fontId="148" fillId="0" borderId="0" xfId="286" applyNumberFormat="1" applyFont="1" applyFill="1" applyBorder="1"/>
    <xf numFmtId="173" fontId="152" fillId="33" borderId="0" xfId="120" applyNumberFormat="1" applyFont="1" applyFill="1" applyProtection="1">
      <protection locked="0"/>
    </xf>
    <xf numFmtId="10" fontId="5" fillId="35" borderId="0" xfId="289" applyNumberFormat="1" applyFont="1" applyFill="1" applyAlignment="1" applyProtection="1"/>
    <xf numFmtId="0" fontId="12" fillId="31" borderId="27" xfId="0" applyNumberFormat="1" applyFont="1" applyFill="1" applyBorder="1" applyAlignment="1" applyProtection="1">
      <alignment horizontal="center"/>
    </xf>
    <xf numFmtId="0" fontId="0" fillId="0" borderId="34" xfId="0" applyBorder="1"/>
    <xf numFmtId="0" fontId="123" fillId="0" borderId="0" xfId="0" applyNumberFormat="1" applyFont="1" applyFill="1" applyAlignment="1" applyProtection="1">
      <alignment horizontal="center"/>
    </xf>
    <xf numFmtId="0" fontId="12" fillId="0" borderId="0" xfId="283" applyFont="1"/>
    <xf numFmtId="41" fontId="12" fillId="0" borderId="0" xfId="283" applyNumberFormat="1" applyFont="1" applyFill="1"/>
    <xf numFmtId="173" fontId="145" fillId="30" borderId="0" xfId="0" applyNumberFormat="1" applyFont="1" applyFill="1" applyProtection="1">
      <protection locked="0"/>
    </xf>
    <xf numFmtId="173" fontId="145" fillId="30" borderId="11" xfId="0" applyNumberFormat="1" applyFont="1" applyFill="1" applyBorder="1" applyProtection="1">
      <protection locked="0"/>
    </xf>
    <xf numFmtId="164" fontId="145" fillId="27" borderId="0" xfId="302" applyNumberFormat="1" applyFont="1" applyFill="1" applyProtection="1">
      <protection locked="0"/>
    </xf>
    <xf numFmtId="190" fontId="170" fillId="33" borderId="0" xfId="291" applyNumberFormat="1" applyFont="1" applyFill="1" applyAlignment="1">
      <alignment horizontal="center"/>
    </xf>
    <xf numFmtId="9" fontId="5" fillId="0" borderId="0" xfId="0" applyNumberFormat="1" applyFont="1" applyFill="1" applyProtection="1"/>
    <xf numFmtId="173" fontId="78" fillId="33" borderId="0" xfId="290" quotePrefix="1" applyNumberFormat="1" applyFont="1" applyFill="1" applyBorder="1" applyProtection="1">
      <protection locked="0"/>
    </xf>
    <xf numFmtId="0" fontId="24" fillId="0" borderId="0" xfId="239" applyFont="1"/>
    <xf numFmtId="0" fontId="24" fillId="0" borderId="0" xfId="239" applyFont="1" applyAlignment="1">
      <alignment horizontal="center"/>
    </xf>
    <xf numFmtId="0" fontId="12" fillId="0" borderId="0" xfId="239" applyFont="1" applyAlignment="1">
      <alignment horizontal="right"/>
    </xf>
    <xf numFmtId="14" fontId="24" fillId="0" borderId="0" xfId="239" applyNumberFormat="1" applyFont="1"/>
    <xf numFmtId="0" fontId="24" fillId="0" borderId="0" xfId="190" applyFont="1"/>
    <xf numFmtId="9" fontId="24" fillId="0" borderId="0" xfId="300" applyFont="1"/>
    <xf numFmtId="41" fontId="24" fillId="0" borderId="0" xfId="239" applyNumberFormat="1" applyFont="1"/>
    <xf numFmtId="10" fontId="24" fillId="0" borderId="0" xfId="304" applyNumberFormat="1" applyFont="1"/>
    <xf numFmtId="0" fontId="24" fillId="0" borderId="0" xfId="0" applyFont="1" applyAlignment="1"/>
    <xf numFmtId="0" fontId="24" fillId="0" borderId="11" xfId="239" applyFont="1" applyBorder="1"/>
    <xf numFmtId="0" fontId="25" fillId="0" borderId="11" xfId="239" applyFont="1" applyBorder="1" applyAlignment="1">
      <alignment horizontal="center"/>
    </xf>
    <xf numFmtId="0" fontId="25" fillId="0" borderId="11" xfId="239" applyFont="1" applyBorder="1" applyAlignment="1">
      <alignment horizontal="center" wrapText="1"/>
    </xf>
    <xf numFmtId="0" fontId="25" fillId="0" borderId="11" xfId="239" applyFont="1" applyFill="1" applyBorder="1" applyAlignment="1">
      <alignment horizontal="center" wrapText="1"/>
    </xf>
    <xf numFmtId="0" fontId="25" fillId="0" borderId="0" xfId="239" applyFont="1" applyAlignment="1">
      <alignment horizontal="center"/>
    </xf>
    <xf numFmtId="0" fontId="24" fillId="0" borderId="0" xfId="239" applyFont="1" applyFill="1"/>
    <xf numFmtId="0" fontId="25" fillId="0" borderId="0" xfId="239" applyFont="1" applyFill="1" applyBorder="1" applyAlignment="1">
      <alignment horizontal="center" wrapText="1"/>
    </xf>
    <xf numFmtId="173" fontId="25" fillId="0" borderId="0" xfId="239" applyNumberFormat="1" applyFont="1" applyAlignment="1">
      <alignment horizontal="center"/>
    </xf>
    <xf numFmtId="0" fontId="25" fillId="0" borderId="0" xfId="239" applyFont="1" applyAlignment="1">
      <alignment horizontal="left"/>
    </xf>
    <xf numFmtId="0" fontId="24" fillId="36" borderId="0" xfId="239" applyFont="1" applyFill="1"/>
    <xf numFmtId="0" fontId="24" fillId="0" borderId="0" xfId="190" applyFont="1" applyFill="1"/>
    <xf numFmtId="49" fontId="24" fillId="0" borderId="0" xfId="239" applyNumberFormat="1" applyFont="1" applyFill="1" applyAlignment="1">
      <alignment horizontal="center"/>
    </xf>
    <xf numFmtId="0" fontId="24" fillId="0" borderId="0" xfId="239" applyFont="1" applyBorder="1"/>
    <xf numFmtId="0" fontId="24" fillId="0" borderId="0" xfId="239" applyFont="1" applyFill="1" applyBorder="1" applyAlignment="1">
      <alignment horizontal="center"/>
    </xf>
    <xf numFmtId="173" fontId="24" fillId="37" borderId="0" xfId="125" applyNumberFormat="1" applyFont="1" applyFill="1" applyBorder="1"/>
    <xf numFmtId="41" fontId="24" fillId="33" borderId="0" xfId="283" applyNumberFormat="1" applyFont="1" applyFill="1" applyBorder="1" applyProtection="1">
      <protection locked="0"/>
    </xf>
    <xf numFmtId="0" fontId="24" fillId="0" borderId="0" xfId="0" applyFont="1" applyBorder="1"/>
    <xf numFmtId="41" fontId="24" fillId="0" borderId="0" xfId="239" applyNumberFormat="1" applyFont="1" applyFill="1" applyBorder="1" applyAlignment="1">
      <alignment horizontal="center"/>
    </xf>
    <xf numFmtId="0" fontId="25" fillId="0" borderId="0" xfId="239" applyFont="1" applyBorder="1"/>
    <xf numFmtId="0" fontId="24" fillId="0" borderId="0" xfId="190" applyFont="1" applyBorder="1"/>
    <xf numFmtId="41" fontId="24" fillId="0" borderId="0" xfId="239" applyNumberFormat="1" applyFont="1" applyBorder="1" applyAlignment="1">
      <alignment horizontal="center"/>
    </xf>
    <xf numFmtId="41" fontId="24" fillId="33" borderId="42" xfId="283" applyNumberFormat="1" applyFont="1" applyFill="1" applyBorder="1" applyProtection="1">
      <protection locked="0"/>
    </xf>
    <xf numFmtId="41" fontId="24" fillId="0" borderId="42" xfId="190" applyNumberFormat="1" applyFont="1" applyFill="1" applyBorder="1"/>
    <xf numFmtId="173" fontId="24" fillId="0" borderId="0" xfId="87" applyNumberFormat="1" applyFont="1" applyBorder="1" applyAlignment="1">
      <alignment horizontal="center"/>
    </xf>
    <xf numFmtId="49" fontId="24" fillId="0" borderId="0" xfId="239" applyNumberFormat="1" applyFont="1" applyAlignment="1">
      <alignment horizontal="center"/>
    </xf>
    <xf numFmtId="41" fontId="24" fillId="33" borderId="34" xfId="283" applyNumberFormat="1" applyFont="1" applyFill="1" applyBorder="1" applyAlignment="1" applyProtection="1">
      <alignment vertical="top"/>
      <protection locked="0"/>
    </xf>
    <xf numFmtId="0" fontId="25" fillId="0" borderId="0" xfId="239" applyFont="1"/>
    <xf numFmtId="0" fontId="0" fillId="0" borderId="0" xfId="0" applyFont="1"/>
    <xf numFmtId="0" fontId="157" fillId="0" borderId="0" xfId="0" applyFont="1"/>
    <xf numFmtId="172" fontId="24" fillId="0" borderId="0" xfId="190" applyNumberFormat="1" applyFont="1" applyFill="1" applyBorder="1"/>
    <xf numFmtId="0" fontId="24" fillId="0" borderId="0" xfId="239" applyFont="1" applyFill="1" applyAlignment="1">
      <alignment horizontal="center"/>
    </xf>
    <xf numFmtId="0" fontId="24" fillId="0" borderId="0" xfId="239" applyFont="1" applyAlignment="1">
      <alignment wrapText="1"/>
    </xf>
    <xf numFmtId="173" fontId="24" fillId="0" borderId="0" xfId="125" applyNumberFormat="1" applyFont="1" applyFill="1" applyBorder="1"/>
    <xf numFmtId="173" fontId="24" fillId="0" borderId="0" xfId="125" applyNumberFormat="1" applyFont="1" applyBorder="1" applyAlignment="1">
      <alignment wrapText="1"/>
    </xf>
    <xf numFmtId="0" fontId="24" fillId="0" borderId="0" xfId="239" applyFont="1" applyAlignment="1">
      <alignment horizontal="left"/>
    </xf>
    <xf numFmtId="173" fontId="24" fillId="0" borderId="0" xfId="125" applyNumberFormat="1" applyFont="1" applyAlignment="1">
      <alignment wrapText="1"/>
    </xf>
    <xf numFmtId="1" fontId="24" fillId="0" borderId="0" xfId="87" applyNumberFormat="1" applyFont="1" applyBorder="1" applyAlignment="1"/>
    <xf numFmtId="177" fontId="24" fillId="0" borderId="0" xfId="87" applyNumberFormat="1" applyFont="1" applyBorder="1" applyAlignment="1"/>
    <xf numFmtId="173" fontId="24" fillId="0" borderId="0" xfId="87" applyNumberFormat="1" applyFont="1" applyBorder="1" applyAlignment="1"/>
    <xf numFmtId="0" fontId="24" fillId="0" borderId="0" xfId="190" applyFont="1" applyFill="1" applyBorder="1"/>
    <xf numFmtId="0" fontId="24" fillId="0" borderId="0" xfId="0" applyFont="1" applyFill="1" applyAlignment="1"/>
    <xf numFmtId="0" fontId="24" fillId="0" borderId="0" xfId="239" applyFont="1" applyAlignment="1">
      <alignment horizontal="left" vertical="center"/>
    </xf>
    <xf numFmtId="0" fontId="24" fillId="0" borderId="0" xfId="239" applyFont="1" applyAlignment="1">
      <alignment vertical="top" wrapText="1"/>
    </xf>
    <xf numFmtId="173" fontId="24" fillId="0" borderId="0" xfId="239" applyNumberFormat="1" applyFont="1"/>
    <xf numFmtId="0" fontId="24" fillId="0" borderId="0" xfId="239" applyFont="1" applyAlignment="1"/>
    <xf numFmtId="0" fontId="24" fillId="0" borderId="0" xfId="239" applyFont="1" applyAlignment="1">
      <alignment vertical="top"/>
    </xf>
    <xf numFmtId="0" fontId="24" fillId="0" borderId="0" xfId="239" applyFont="1" applyFill="1" applyAlignment="1">
      <alignment vertical="top" wrapText="1"/>
    </xf>
    <xf numFmtId="0" fontId="24" fillId="0" borderId="0" xfId="239" applyFont="1" applyFill="1" applyAlignment="1">
      <alignment horizontal="left"/>
    </xf>
    <xf numFmtId="0" fontId="25" fillId="0" borderId="0" xfId="239" applyFont="1" applyAlignment="1">
      <alignment horizontal="left" vertical="center"/>
    </xf>
    <xf numFmtId="173" fontId="24" fillId="0" borderId="0" xfId="239" applyNumberFormat="1" applyFont="1" applyAlignment="1">
      <alignment horizontal="left" vertical="center"/>
    </xf>
    <xf numFmtId="173" fontId="127" fillId="33" borderId="0" xfId="90" applyNumberFormat="1" applyFont="1" applyFill="1" applyProtection="1">
      <protection locked="0"/>
    </xf>
    <xf numFmtId="10" fontId="145" fillId="0" borderId="0" xfId="330" applyNumberFormat="1" applyFont="1"/>
    <xf numFmtId="173" fontId="145" fillId="0" borderId="0" xfId="120" applyNumberFormat="1" applyFont="1"/>
    <xf numFmtId="164" fontId="145" fillId="27" borderId="11" xfId="302" applyNumberFormat="1" applyFont="1" applyFill="1" applyBorder="1" applyProtection="1">
      <protection locked="0"/>
    </xf>
    <xf numFmtId="173" fontId="145" fillId="0" borderId="11" xfId="120" applyNumberFormat="1" applyFont="1" applyBorder="1"/>
    <xf numFmtId="0" fontId="25" fillId="0" borderId="0" xfId="239" applyFont="1" applyBorder="1" applyAlignment="1">
      <alignment horizontal="center" wrapText="1"/>
    </xf>
    <xf numFmtId="0" fontId="25" fillId="0" borderId="49" xfId="239" applyFont="1" applyBorder="1" applyAlignment="1">
      <alignment horizontal="center" wrapText="1"/>
    </xf>
    <xf numFmtId="41" fontId="24" fillId="33" borderId="50" xfId="283" applyNumberFormat="1" applyFont="1" applyFill="1" applyBorder="1" applyProtection="1">
      <protection locked="0"/>
    </xf>
    <xf numFmtId="173" fontId="24" fillId="37" borderId="50" xfId="125" applyNumberFormat="1" applyFont="1" applyFill="1" applyBorder="1"/>
    <xf numFmtId="173" fontId="24" fillId="0" borderId="51" xfId="125" applyNumberFormat="1" applyFont="1" applyFill="1" applyBorder="1"/>
    <xf numFmtId="41" fontId="24" fillId="33" borderId="52" xfId="283" applyNumberFormat="1" applyFont="1" applyFill="1" applyBorder="1" applyProtection="1">
      <protection locked="0"/>
    </xf>
    <xf numFmtId="173" fontId="24" fillId="0" borderId="52" xfId="125" applyNumberFormat="1" applyFont="1" applyFill="1" applyBorder="1"/>
    <xf numFmtId="41" fontId="24" fillId="0" borderId="52" xfId="190" applyNumberFormat="1" applyFont="1" applyFill="1" applyBorder="1"/>
    <xf numFmtId="173" fontId="24" fillId="0" borderId="53" xfId="125" applyNumberFormat="1" applyFont="1" applyFill="1" applyBorder="1"/>
    <xf numFmtId="173" fontId="24" fillId="37" borderId="53" xfId="125" applyNumberFormat="1" applyFont="1" applyFill="1" applyBorder="1"/>
    <xf numFmtId="173" fontId="24" fillId="37" borderId="52" xfId="125" applyNumberFormat="1" applyFont="1" applyFill="1" applyBorder="1"/>
    <xf numFmtId="41" fontId="24" fillId="33" borderId="54" xfId="283" applyNumberFormat="1" applyFont="1" applyFill="1" applyBorder="1" applyProtection="1">
      <protection locked="0"/>
    </xf>
    <xf numFmtId="1" fontId="24" fillId="0" borderId="55" xfId="87" applyNumberFormat="1" applyFont="1" applyBorder="1" applyAlignment="1"/>
    <xf numFmtId="173" fontId="24" fillId="0" borderId="55" xfId="87" applyNumberFormat="1" applyFont="1" applyBorder="1" applyAlignment="1"/>
    <xf numFmtId="177" fontId="24" fillId="0" borderId="55" xfId="87" applyNumberFormat="1" applyFont="1" applyBorder="1" applyAlignment="1"/>
    <xf numFmtId="173" fontId="24" fillId="0" borderId="55" xfId="87" applyNumberFormat="1" applyFont="1" applyFill="1" applyBorder="1" applyAlignment="1"/>
    <xf numFmtId="173" fontId="24" fillId="0" borderId="56" xfId="87" applyNumberFormat="1" applyFont="1" applyBorder="1" applyAlignment="1">
      <alignment horizontal="center"/>
    </xf>
    <xf numFmtId="173" fontId="8" fillId="0" borderId="0" xfId="117" applyNumberFormat="1" applyFont="1" applyFill="1" applyAlignment="1" applyProtection="1">
      <protection locked="0"/>
    </xf>
    <xf numFmtId="0" fontId="123" fillId="0" borderId="26" xfId="0" applyFont="1" applyBorder="1" applyAlignment="1">
      <alignment horizontal="center" wrapText="1"/>
    </xf>
    <xf numFmtId="0" fontId="123" fillId="0" borderId="0" xfId="0" applyFont="1"/>
    <xf numFmtId="0" fontId="124" fillId="0" borderId="0" xfId="0" applyFont="1" applyAlignment="1">
      <alignment horizontal="left"/>
    </xf>
    <xf numFmtId="0" fontId="0" fillId="0" borderId="0" xfId="0" applyAlignment="1" applyProtection="1">
      <alignment wrapText="1"/>
    </xf>
    <xf numFmtId="0" fontId="12" fillId="0" borderId="0" xfId="0" applyFont="1" applyFill="1" applyBorder="1" applyAlignment="1" applyProtection="1">
      <alignment wrapText="1"/>
    </xf>
    <xf numFmtId="41" fontId="148" fillId="0" borderId="0" xfId="286" applyNumberFormat="1" applyFont="1"/>
    <xf numFmtId="3" fontId="19" fillId="33" borderId="0" xfId="0" applyNumberFormat="1" applyFont="1" applyFill="1" applyProtection="1">
      <protection locked="0"/>
    </xf>
    <xf numFmtId="41" fontId="19" fillId="0" borderId="0" xfId="283" applyNumberFormat="1" applyFont="1" applyFill="1" applyBorder="1" applyProtection="1">
      <protection locked="0"/>
    </xf>
    <xf numFmtId="173" fontId="8" fillId="33" borderId="57" xfId="91" applyNumberFormat="1" applyFont="1" applyFill="1" applyBorder="1" applyAlignment="1">
      <alignment horizontal="right"/>
    </xf>
    <xf numFmtId="0" fontId="12" fillId="0" borderId="34" xfId="0" applyFont="1" applyBorder="1"/>
    <xf numFmtId="0" fontId="0" fillId="0" borderId="0" xfId="0" applyAlignment="1" applyProtection="1">
      <alignment wrapText="1"/>
    </xf>
    <xf numFmtId="0" fontId="12" fillId="0" borderId="0" xfId="0" applyFont="1" applyFill="1" applyBorder="1" applyAlignment="1" applyProtection="1">
      <alignment wrapText="1"/>
    </xf>
    <xf numFmtId="2" fontId="2" fillId="0" borderId="0" xfId="382" applyNumberFormat="1" applyFont="1"/>
    <xf numFmtId="172" fontId="2" fillId="0" borderId="0" xfId="382" applyFont="1"/>
    <xf numFmtId="172" fontId="5" fillId="0" borderId="0" xfId="382" applyFont="1" applyAlignment="1">
      <alignment horizontal="right"/>
    </xf>
    <xf numFmtId="172" fontId="24" fillId="0" borderId="0" xfId="383" applyFont="1" applyAlignment="1">
      <alignment horizontal="right"/>
    </xf>
    <xf numFmtId="173" fontId="2" fillId="0" borderId="0" xfId="384" applyNumberFormat="1" applyFont="1"/>
    <xf numFmtId="172" fontId="2" fillId="0" borderId="0" xfId="382" applyFont="1" applyAlignment="1">
      <alignment horizontal="right"/>
    </xf>
    <xf numFmtId="172" fontId="2" fillId="0" borderId="0" xfId="383" applyFont="1" applyAlignment="1">
      <alignment horizontal="right"/>
    </xf>
    <xf numFmtId="2" fontId="2" fillId="0" borderId="0" xfId="382" applyNumberFormat="1" applyFont="1" applyAlignment="1">
      <alignment horizontal="center"/>
    </xf>
    <xf numFmtId="172" fontId="2" fillId="0" borderId="0" xfId="382" applyFont="1" applyAlignment="1">
      <alignment horizontal="center"/>
    </xf>
    <xf numFmtId="172" fontId="2" fillId="0" borderId="0" xfId="382" applyFont="1" applyAlignment="1">
      <alignment wrapText="1"/>
    </xf>
    <xf numFmtId="172" fontId="2" fillId="0" borderId="0" xfId="382" applyFont="1" applyAlignment="1">
      <alignment horizontal="center" wrapText="1"/>
    </xf>
    <xf numFmtId="172" fontId="3" fillId="0" borderId="0" xfId="382"/>
    <xf numFmtId="2" fontId="9" fillId="0" borderId="0" xfId="382" applyNumberFormat="1" applyFont="1"/>
    <xf numFmtId="173" fontId="2" fillId="0" borderId="0" xfId="384" applyNumberFormat="1" applyFont="1" applyFill="1"/>
    <xf numFmtId="1" fontId="2" fillId="0" borderId="0" xfId="382" applyNumberFormat="1" applyFont="1" applyAlignment="1">
      <alignment horizontal="center"/>
    </xf>
    <xf numFmtId="49" fontId="2" fillId="0" borderId="0" xfId="384" applyNumberFormat="1" applyFont="1"/>
    <xf numFmtId="170" fontId="2" fillId="0" borderId="0" xfId="382" applyNumberFormat="1" applyFont="1"/>
    <xf numFmtId="170" fontId="2" fillId="0" borderId="11" xfId="382" applyNumberFormat="1" applyFont="1" applyBorder="1"/>
    <xf numFmtId="172" fontId="3" fillId="0" borderId="0" xfId="382" applyAlignment="1">
      <alignment horizontal="center"/>
    </xf>
    <xf numFmtId="9" fontId="2" fillId="0" borderId="0" xfId="385" applyFont="1" applyFill="1" applyAlignment="1">
      <alignment horizontal="center"/>
    </xf>
    <xf numFmtId="10" fontId="2" fillId="0" borderId="0" xfId="385" applyNumberFormat="1" applyFont="1" applyFill="1" applyAlignment="1"/>
    <xf numFmtId="9" fontId="2" fillId="0" borderId="0" xfId="385" applyFont="1" applyFill="1"/>
    <xf numFmtId="9" fontId="2" fillId="0" borderId="0" xfId="384" applyNumberFormat="1" applyFont="1" applyFill="1" applyAlignment="1">
      <alignment horizontal="center"/>
    </xf>
    <xf numFmtId="9" fontId="2" fillId="0" borderId="0" xfId="382" applyNumberFormat="1" applyFont="1" applyAlignment="1">
      <alignment horizontal="center"/>
    </xf>
    <xf numFmtId="173" fontId="2" fillId="0" borderId="11" xfId="384" applyNumberFormat="1" applyFont="1" applyBorder="1"/>
    <xf numFmtId="9" fontId="3" fillId="0" borderId="0" xfId="382" applyNumberFormat="1" applyAlignment="1">
      <alignment horizontal="center"/>
    </xf>
    <xf numFmtId="43" fontId="2" fillId="0" borderId="0" xfId="384" applyFont="1" applyFill="1"/>
    <xf numFmtId="10" fontId="2" fillId="0" borderId="0" xfId="385" applyNumberFormat="1" applyFont="1" applyFill="1"/>
    <xf numFmtId="43" fontId="2" fillId="0" borderId="49" xfId="384" applyFont="1" applyBorder="1"/>
    <xf numFmtId="173" fontId="2" fillId="0" borderId="49" xfId="384" applyNumberFormat="1" applyFont="1" applyFill="1" applyBorder="1"/>
    <xf numFmtId="173" fontId="2" fillId="0" borderId="0" xfId="384" applyNumberFormat="1" applyFont="1" applyFill="1" applyBorder="1"/>
    <xf numFmtId="9" fontId="2" fillId="0" borderId="0" xfId="384" applyNumberFormat="1" applyFont="1" applyFill="1" applyBorder="1" applyAlignment="1">
      <alignment horizontal="center"/>
    </xf>
    <xf numFmtId="10" fontId="2" fillId="0" borderId="0" xfId="385" applyNumberFormat="1" applyFont="1"/>
    <xf numFmtId="1" fontId="9" fillId="0" borderId="0" xfId="382" applyNumberFormat="1" applyFont="1" applyAlignment="1">
      <alignment horizontal="left"/>
    </xf>
    <xf numFmtId="43" fontId="2" fillId="0" borderId="0" xfId="384" applyFont="1"/>
    <xf numFmtId="200" fontId="2" fillId="0" borderId="0" xfId="384" applyNumberFormat="1" applyFont="1" applyFill="1"/>
    <xf numFmtId="173" fontId="2" fillId="0" borderId="0" xfId="384" applyNumberFormat="1" applyFont="1" applyBorder="1"/>
    <xf numFmtId="173" fontId="2" fillId="0" borderId="49" xfId="384" applyNumberFormat="1" applyFont="1" applyBorder="1"/>
    <xf numFmtId="10" fontId="2" fillId="0" borderId="0" xfId="384" applyNumberFormat="1" applyFont="1" applyFill="1" applyBorder="1" applyAlignment="1">
      <alignment horizontal="center"/>
    </xf>
    <xf numFmtId="2" fontId="3" fillId="0" borderId="0" xfId="382" applyNumberFormat="1"/>
    <xf numFmtId="9" fontId="2" fillId="0" borderId="0" xfId="385" applyFont="1"/>
    <xf numFmtId="2" fontId="2" fillId="0" borderId="0" xfId="382" applyNumberFormat="1" applyFont="1" applyAlignment="1">
      <alignment horizontal="left" wrapText="1"/>
    </xf>
    <xf numFmtId="0" fontId="1" fillId="0" borderId="0" xfId="386"/>
    <xf numFmtId="170" fontId="2" fillId="0" borderId="0" xfId="382" applyNumberFormat="1" applyFont="1" applyAlignment="1">
      <alignment horizontal="center"/>
    </xf>
    <xf numFmtId="170" fontId="2" fillId="0" borderId="0" xfId="382" applyNumberFormat="1" applyFont="1" applyAlignment="1">
      <alignment horizontal="center" wrapText="1"/>
    </xf>
    <xf numFmtId="170" fontId="2" fillId="0" borderId="0" xfId="384" applyNumberFormat="1" applyFont="1"/>
    <xf numFmtId="201" fontId="1" fillId="0" borderId="0" xfId="387" applyNumberFormat="1" applyFont="1"/>
    <xf numFmtId="201" fontId="1" fillId="0" borderId="11" xfId="387" applyNumberFormat="1" applyFont="1" applyBorder="1"/>
    <xf numFmtId="173" fontId="1" fillId="0" borderId="0" xfId="388" applyNumberFormat="1" applyFont="1"/>
    <xf numFmtId="170" fontId="1" fillId="0" borderId="0" xfId="386" applyNumberFormat="1"/>
    <xf numFmtId="177" fontId="1" fillId="0" borderId="0" xfId="388" applyNumberFormat="1" applyFont="1"/>
    <xf numFmtId="177" fontId="2" fillId="0" borderId="0" xfId="385" applyNumberFormat="1" applyFont="1" applyFill="1"/>
    <xf numFmtId="10" fontId="2" fillId="0" borderId="0" xfId="385" applyNumberFormat="1" applyFont="1" applyFill="1" applyAlignment="1">
      <alignment horizontal="center" wrapText="1"/>
    </xf>
    <xf numFmtId="170" fontId="2" fillId="0" borderId="49" xfId="384" applyNumberFormat="1" applyFont="1" applyBorder="1"/>
    <xf numFmtId="170" fontId="2" fillId="0" borderId="0" xfId="384" applyNumberFormat="1" applyFont="1" applyBorder="1"/>
    <xf numFmtId="170" fontId="3" fillId="0" borderId="0" xfId="382" applyNumberFormat="1"/>
    <xf numFmtId="0" fontId="2" fillId="0" borderId="0" xfId="236" applyFont="1"/>
    <xf numFmtId="173" fontId="2" fillId="0" borderId="0" xfId="86" applyNumberFormat="1" applyFont="1" applyFill="1"/>
    <xf numFmtId="0" fontId="77" fillId="0" borderId="30" xfId="292" applyFont="1" applyBorder="1" applyAlignment="1">
      <alignment horizontal="center"/>
    </xf>
    <xf numFmtId="0" fontId="110" fillId="0" borderId="0" xfId="292" applyFont="1"/>
    <xf numFmtId="44" fontId="110" fillId="0" borderId="0" xfId="389" applyFont="1" applyAlignment="1" applyProtection="1"/>
    <xf numFmtId="0" fontId="111" fillId="0" borderId="0" xfId="292" applyFont="1"/>
    <xf numFmtId="0" fontId="113" fillId="0" borderId="0" xfId="292" applyFont="1"/>
    <xf numFmtId="176" fontId="112" fillId="0" borderId="0" xfId="292" quotePrefix="1" applyNumberFormat="1" applyFont="1" applyAlignment="1">
      <alignment horizontal="center"/>
    </xf>
    <xf numFmtId="194" fontId="112" fillId="0" borderId="0" xfId="292" quotePrefix="1" applyNumberFormat="1" applyFont="1" applyAlignment="1">
      <alignment horizontal="center"/>
    </xf>
    <xf numFmtId="0" fontId="114" fillId="0" borderId="0" xfId="292" applyFont="1"/>
    <xf numFmtId="10" fontId="3" fillId="0" borderId="0" xfId="292" applyNumberFormat="1"/>
    <xf numFmtId="10" fontId="3" fillId="0" borderId="16" xfId="292" applyNumberFormat="1" applyBorder="1"/>
    <xf numFmtId="193" fontId="3" fillId="0" borderId="16" xfId="292" applyNumberFormat="1" applyBorder="1"/>
    <xf numFmtId="176" fontId="3" fillId="0" borderId="16" xfId="292" applyNumberFormat="1" applyBorder="1"/>
    <xf numFmtId="192" fontId="3" fillId="0" borderId="16" xfId="292" applyNumberFormat="1" applyBorder="1"/>
    <xf numFmtId="195" fontId="3" fillId="0" borderId="0" xfId="292" applyNumberFormat="1"/>
    <xf numFmtId="193" fontId="3" fillId="0" borderId="0" xfId="292" applyNumberFormat="1"/>
    <xf numFmtId="10" fontId="117" fillId="0" borderId="0" xfId="292" applyNumberFormat="1" applyFont="1"/>
    <xf numFmtId="0" fontId="42" fillId="0" borderId="0" xfId="292" applyFont="1"/>
    <xf numFmtId="0" fontId="5" fillId="0" borderId="0" xfId="390" applyFont="1"/>
    <xf numFmtId="0" fontId="2" fillId="0" borderId="0" xfId="390"/>
    <xf numFmtId="0" fontId="2" fillId="0" borderId="0" xfId="390" applyAlignment="1">
      <alignment horizontal="center"/>
    </xf>
    <xf numFmtId="0" fontId="2" fillId="0" borderId="0" xfId="391"/>
    <xf numFmtId="0" fontId="131" fillId="0" borderId="0" xfId="391" applyFont="1" applyAlignment="1">
      <alignment vertical="center"/>
    </xf>
    <xf numFmtId="0" fontId="2" fillId="0" borderId="0" xfId="391" applyAlignment="1">
      <alignment wrapText="1"/>
    </xf>
    <xf numFmtId="10" fontId="3" fillId="0" borderId="0" xfId="292" applyNumberFormat="1" applyAlignment="1">
      <alignment horizontal="center"/>
    </xf>
    <xf numFmtId="0" fontId="115" fillId="0" borderId="0" xfId="292" applyFont="1"/>
    <xf numFmtId="10" fontId="3" fillId="0" borderId="0" xfId="292" applyNumberFormat="1" applyAlignment="1">
      <alignment horizontal="right"/>
    </xf>
    <xf numFmtId="195" fontId="77" fillId="0" borderId="0" xfId="292" applyNumberFormat="1" applyFont="1"/>
    <xf numFmtId="10" fontId="77" fillId="0" borderId="0" xfId="292" applyNumberFormat="1" applyFont="1"/>
    <xf numFmtId="0" fontId="6" fillId="0" borderId="0" xfId="391" applyFont="1"/>
    <xf numFmtId="0" fontId="2" fillId="0" borderId="0" xfId="391" applyAlignment="1">
      <alignment horizontal="center"/>
    </xf>
    <xf numFmtId="0" fontId="5" fillId="0" borderId="0" xfId="391" applyFont="1" applyAlignment="1">
      <alignment horizontal="left" indent="1"/>
    </xf>
    <xf numFmtId="0" fontId="5" fillId="0" borderId="0" xfId="391" applyFont="1" applyAlignment="1">
      <alignment horizontal="center"/>
    </xf>
    <xf numFmtId="0" fontId="6" fillId="0" borderId="0" xfId="394" applyFont="1" applyAlignment="1">
      <alignment horizontal="right"/>
    </xf>
    <xf numFmtId="0" fontId="115" fillId="0" borderId="16" xfId="395" applyFont="1" applyBorder="1"/>
    <xf numFmtId="0" fontId="111" fillId="0" borderId="16" xfId="395" applyFont="1" applyBorder="1" applyProtection="1">
      <protection locked="0"/>
    </xf>
    <xf numFmtId="10" fontId="3" fillId="0" borderId="16" xfId="395" applyNumberFormat="1" applyBorder="1"/>
    <xf numFmtId="193" fontId="3" fillId="0" borderId="16" xfId="395" applyNumberFormat="1" applyBorder="1"/>
    <xf numFmtId="176" fontId="3" fillId="0" borderId="16" xfId="395" applyNumberFormat="1" applyBorder="1"/>
    <xf numFmtId="192" fontId="3" fillId="0" borderId="16" xfId="395" applyNumberFormat="1" applyBorder="1"/>
    <xf numFmtId="176" fontId="3" fillId="0" borderId="16" xfId="395" applyNumberFormat="1" applyBorder="1" applyAlignment="1">
      <alignment horizontal="center"/>
    </xf>
    <xf numFmtId="0" fontId="77" fillId="0" borderId="0" xfId="395" applyFont="1" applyAlignment="1">
      <alignment horizontal="right"/>
    </xf>
    <xf numFmtId="195" fontId="3" fillId="0" borderId="0" xfId="395" applyNumberFormat="1" applyAlignment="1">
      <alignment horizontal="center"/>
    </xf>
    <xf numFmtId="10" fontId="3" fillId="0" borderId="0" xfId="395" applyNumberFormat="1"/>
    <xf numFmtId="193" fontId="3" fillId="0" borderId="0" xfId="395" applyNumberFormat="1"/>
    <xf numFmtId="0" fontId="111" fillId="0" borderId="0" xfId="395" applyFont="1" applyProtection="1">
      <protection locked="0"/>
    </xf>
    <xf numFmtId="192" fontId="3" fillId="0" borderId="0" xfId="395" applyNumberFormat="1"/>
    <xf numFmtId="176" fontId="3" fillId="0" borderId="0" xfId="395" applyNumberFormat="1"/>
    <xf numFmtId="10" fontId="3" fillId="0" borderId="0" xfId="395" applyNumberFormat="1" applyAlignment="1">
      <alignment horizontal="center"/>
    </xf>
    <xf numFmtId="0" fontId="115" fillId="0" borderId="0" xfId="395" applyFont="1"/>
    <xf numFmtId="0" fontId="115" fillId="0" borderId="16" xfId="396" applyFont="1" applyBorder="1"/>
    <xf numFmtId="0" fontId="111" fillId="0" borderId="16" xfId="396" applyFont="1" applyBorder="1" applyProtection="1">
      <protection locked="0"/>
    </xf>
    <xf numFmtId="10" fontId="3" fillId="0" borderId="16" xfId="396" applyNumberFormat="1" applyBorder="1"/>
    <xf numFmtId="193" fontId="3" fillId="0" borderId="16" xfId="396" applyNumberFormat="1" applyBorder="1"/>
    <xf numFmtId="176" fontId="3" fillId="0" borderId="16" xfId="396" applyNumberFormat="1" applyBorder="1"/>
    <xf numFmtId="176" fontId="3" fillId="0" borderId="16" xfId="396" applyNumberFormat="1" applyBorder="1" applyAlignment="1">
      <alignment horizontal="center"/>
    </xf>
    <xf numFmtId="0" fontId="115" fillId="0" borderId="0" xfId="396" applyFont="1"/>
    <xf numFmtId="195" fontId="3" fillId="0" borderId="0" xfId="396" applyNumberFormat="1" applyAlignment="1">
      <alignment horizontal="center"/>
    </xf>
    <xf numFmtId="10" fontId="3" fillId="0" borderId="0" xfId="396" applyNumberFormat="1"/>
    <xf numFmtId="193" fontId="3" fillId="0" borderId="0" xfId="396" applyNumberFormat="1"/>
    <xf numFmtId="0" fontId="111" fillId="0" borderId="0" xfId="396" applyFont="1" applyProtection="1">
      <protection locked="0"/>
    </xf>
    <xf numFmtId="10" fontId="3" fillId="0" borderId="0" xfId="396" applyNumberFormat="1" applyAlignment="1">
      <alignment horizontal="center"/>
    </xf>
    <xf numFmtId="192" fontId="3" fillId="0" borderId="0" xfId="396" applyNumberFormat="1"/>
    <xf numFmtId="0" fontId="115" fillId="0" borderId="30" xfId="391" applyFont="1" applyBorder="1"/>
    <xf numFmtId="0" fontId="111" fillId="0" borderId="30" xfId="391" applyFont="1" applyBorder="1" applyProtection="1">
      <protection locked="0"/>
    </xf>
    <xf numFmtId="10" fontId="2" fillId="0" borderId="30" xfId="391" applyNumberFormat="1" applyBorder="1"/>
    <xf numFmtId="193" fontId="2" fillId="0" borderId="30" xfId="391" applyNumberFormat="1" applyBorder="1"/>
    <xf numFmtId="176" fontId="2" fillId="0" borderId="30" xfId="391" applyNumberFormat="1" applyBorder="1"/>
    <xf numFmtId="0" fontId="3" fillId="0" borderId="0" xfId="397"/>
    <xf numFmtId="176" fontId="3" fillId="0" borderId="0" xfId="397" quotePrefix="1" applyNumberFormat="1" applyAlignment="1">
      <alignment horizontal="left"/>
    </xf>
    <xf numFmtId="176" fontId="3" fillId="0" borderId="0" xfId="397" applyNumberFormat="1"/>
    <xf numFmtId="0" fontId="111" fillId="0" borderId="0" xfId="397" applyFont="1" applyProtection="1">
      <protection locked="0"/>
    </xf>
    <xf numFmtId="176" fontId="3" fillId="0" borderId="0" xfId="397" quotePrefix="1" applyNumberFormat="1" applyAlignment="1">
      <alignment horizontal="right"/>
    </xf>
    <xf numFmtId="0" fontId="116" fillId="0" borderId="0" xfId="397" applyFont="1" applyAlignment="1" applyProtection="1">
      <alignment horizontal="right"/>
      <protection locked="0"/>
    </xf>
    <xf numFmtId="0" fontId="116" fillId="0" borderId="0" xfId="397" applyFont="1" applyProtection="1">
      <protection locked="0"/>
    </xf>
    <xf numFmtId="10" fontId="117" fillId="0" borderId="0" xfId="397" applyNumberFormat="1" applyFont="1"/>
    <xf numFmtId="0" fontId="117" fillId="0" borderId="0" xfId="397" applyFont="1"/>
    <xf numFmtId="0" fontId="117" fillId="0" borderId="0" xfId="397" applyFont="1" applyAlignment="1">
      <alignment horizontal="right"/>
    </xf>
    <xf numFmtId="0" fontId="42" fillId="0" borderId="0" xfId="397" applyFont="1"/>
    <xf numFmtId="195" fontId="3" fillId="0" borderId="0" xfId="398" applyNumberFormat="1"/>
    <xf numFmtId="10" fontId="3" fillId="0" borderId="0" xfId="398" applyNumberFormat="1" applyAlignment="1">
      <alignment horizontal="center"/>
    </xf>
    <xf numFmtId="202" fontId="3" fillId="0" borderId="0" xfId="398" applyNumberFormat="1" applyAlignment="1">
      <alignment horizontal="center"/>
    </xf>
    <xf numFmtId="176" fontId="3" fillId="0" borderId="0" xfId="398" applyNumberFormat="1"/>
    <xf numFmtId="0" fontId="111" fillId="0" borderId="0" xfId="398" applyFont="1" applyProtection="1">
      <protection locked="0"/>
    </xf>
    <xf numFmtId="0" fontId="115" fillId="0" borderId="16" xfId="391" applyFont="1" applyBorder="1"/>
    <xf numFmtId="0" fontId="111" fillId="0" borderId="16" xfId="391" applyFont="1" applyBorder="1" applyProtection="1">
      <protection locked="0"/>
    </xf>
    <xf numFmtId="10" fontId="2" fillId="0" borderId="16" xfId="391" applyNumberFormat="1" applyBorder="1" applyAlignment="1">
      <alignment horizontal="center"/>
    </xf>
    <xf numFmtId="193" fontId="2" fillId="0" borderId="16" xfId="391" applyNumberFormat="1" applyBorder="1"/>
    <xf numFmtId="176" fontId="2" fillId="0" borderId="16" xfId="391" applyNumberFormat="1" applyBorder="1"/>
    <xf numFmtId="176" fontId="2" fillId="0" borderId="16" xfId="391" applyNumberFormat="1" applyBorder="1" applyAlignment="1">
      <alignment horizontal="center"/>
    </xf>
    <xf numFmtId="0" fontId="115" fillId="0" borderId="0" xfId="391" applyFont="1"/>
    <xf numFmtId="195" fontId="3" fillId="0" borderId="0" xfId="399" applyNumberFormat="1"/>
    <xf numFmtId="10" fontId="3" fillId="0" borderId="0" xfId="399" applyNumberFormat="1" applyAlignment="1">
      <alignment horizontal="center"/>
    </xf>
    <xf numFmtId="202" fontId="3" fillId="0" borderId="0" xfId="399" applyNumberFormat="1" applyAlignment="1">
      <alignment horizontal="center"/>
    </xf>
    <xf numFmtId="176" fontId="3" fillId="0" borderId="0" xfId="399" applyNumberFormat="1"/>
    <xf numFmtId="0" fontId="111" fillId="0" borderId="0" xfId="399" applyFont="1" applyProtection="1">
      <protection locked="0"/>
    </xf>
    <xf numFmtId="0" fontId="171" fillId="0" borderId="0" xfId="391" applyFont="1" applyAlignment="1">
      <alignment horizontal="center"/>
    </xf>
    <xf numFmtId="0" fontId="77" fillId="0" borderId="0" xfId="391" applyFont="1" applyAlignment="1">
      <alignment horizontal="center" vertical="top" wrapText="1"/>
    </xf>
    <xf numFmtId="177" fontId="5" fillId="0" borderId="0" xfId="405" applyNumberFormat="1" applyFont="1" applyAlignment="1">
      <alignment horizontal="center"/>
    </xf>
    <xf numFmtId="10" fontId="5" fillId="0" borderId="0" xfId="406" applyNumberFormat="1" applyFont="1" applyAlignment="1">
      <alignment horizontal="right"/>
    </xf>
    <xf numFmtId="10" fontId="5" fillId="0" borderId="0" xfId="406" applyNumberFormat="1" applyFont="1" applyAlignment="1">
      <alignment horizontal="center"/>
    </xf>
    <xf numFmtId="0" fontId="3" fillId="0" borderId="6" xfId="292" applyBorder="1"/>
    <xf numFmtId="195" fontId="3" fillId="0" borderId="6" xfId="292" applyNumberFormat="1" applyBorder="1"/>
    <xf numFmtId="10" fontId="3" fillId="0" borderId="6" xfId="292" applyNumberFormat="1" applyBorder="1"/>
    <xf numFmtId="0" fontId="115" fillId="0" borderId="6" xfId="292" applyFont="1" applyBorder="1"/>
    <xf numFmtId="0" fontId="111" fillId="0" borderId="6" xfId="292" applyFont="1" applyBorder="1" applyProtection="1">
      <protection locked="0"/>
    </xf>
    <xf numFmtId="43" fontId="161" fillId="33" borderId="18" xfId="0" applyNumberFormat="1" applyFont="1" applyFill="1" applyBorder="1" applyAlignment="1" applyProtection="1">
      <alignment horizontal="right"/>
      <protection locked="0"/>
    </xf>
    <xf numFmtId="0" fontId="123" fillId="0" borderId="0" xfId="0" applyFont="1" applyAlignment="1">
      <alignment horizontal="center"/>
    </xf>
    <xf numFmtId="176" fontId="123" fillId="0" borderId="0" xfId="0" applyNumberFormat="1" applyFont="1"/>
    <xf numFmtId="0" fontId="5" fillId="0" borderId="0" xfId="0" applyFont="1" applyFill="1" applyAlignment="1" applyProtection="1">
      <alignment horizontal="left" vertical="top" wrapText="1"/>
    </xf>
    <xf numFmtId="172" fontId="5" fillId="0" borderId="0" xfId="289" applyFont="1" applyAlignment="1" applyProtection="1">
      <alignment horizontal="left" wrapText="1"/>
    </xf>
    <xf numFmtId="0" fontId="5" fillId="0" borderId="0" xfId="289" applyNumberFormat="1" applyFont="1" applyFill="1" applyAlignment="1" applyProtection="1">
      <alignment horizontal="left" wrapText="1"/>
    </xf>
    <xf numFmtId="0" fontId="5" fillId="0" borderId="0" xfId="289" applyNumberFormat="1" applyFont="1" applyFill="1" applyAlignment="1" applyProtection="1">
      <alignment horizontal="left" vertical="top" wrapText="1"/>
    </xf>
    <xf numFmtId="172" fontId="5" fillId="0" borderId="0" xfId="289" applyFont="1" applyFill="1" applyAlignment="1" applyProtection="1">
      <alignment horizontal="left" wrapText="1"/>
    </xf>
    <xf numFmtId="172" fontId="26" fillId="0" borderId="0" xfId="289" applyFont="1" applyFill="1" applyAlignment="1" applyProtection="1">
      <alignment vertical="top" wrapText="1"/>
    </xf>
    <xf numFmtId="0" fontId="26" fillId="0" borderId="0" xfId="0" applyFont="1" applyAlignment="1" applyProtection="1">
      <alignment vertical="top" wrapText="1"/>
    </xf>
    <xf numFmtId="172" fontId="5" fillId="0" borderId="0" xfId="289" applyFont="1" applyAlignment="1" applyProtection="1">
      <alignment horizontal="left"/>
    </xf>
    <xf numFmtId="3" fontId="5" fillId="0" borderId="0" xfId="289" applyNumberFormat="1" applyFont="1" applyAlignment="1" applyProtection="1">
      <alignment horizontal="left" wrapText="1"/>
    </xf>
    <xf numFmtId="0" fontId="12" fillId="0" borderId="0" xfId="0" applyFont="1" applyAlignment="1" applyProtection="1">
      <alignment horizontal="left" wrapText="1"/>
    </xf>
    <xf numFmtId="172" fontId="77" fillId="0" borderId="0" xfId="289" applyFont="1" applyAlignment="1" applyProtection="1">
      <alignment horizontal="left" wrapText="1"/>
    </xf>
    <xf numFmtId="49" fontId="5" fillId="0" borderId="0" xfId="289" applyNumberFormat="1" applyFont="1" applyAlignment="1" applyProtection="1">
      <alignment horizontal="center"/>
    </xf>
    <xf numFmtId="0" fontId="32" fillId="0" borderId="0" xfId="0" applyFont="1" applyAlignment="1" applyProtection="1">
      <alignment horizontal="center"/>
    </xf>
    <xf numFmtId="0" fontId="10" fillId="0" borderId="0" xfId="289" applyNumberFormat="1" applyFont="1" applyAlignment="1" applyProtection="1">
      <alignment horizontal="center"/>
    </xf>
    <xf numFmtId="0" fontId="13" fillId="0" borderId="0" xfId="0" applyFont="1" applyAlignment="1" applyProtection="1"/>
    <xf numFmtId="0" fontId="0" fillId="0" borderId="0" xfId="0" applyAlignment="1" applyProtection="1">
      <alignment horizontal="center"/>
    </xf>
    <xf numFmtId="172" fontId="6" fillId="0" borderId="11" xfId="289" applyFont="1" applyBorder="1" applyAlignment="1" applyProtection="1">
      <alignment horizontal="center"/>
    </xf>
    <xf numFmtId="3" fontId="155" fillId="0" borderId="0" xfId="289" applyNumberFormat="1" applyFont="1" applyFill="1" applyAlignment="1" applyProtection="1">
      <alignment horizontal="center"/>
    </xf>
    <xf numFmtId="0" fontId="5" fillId="0" borderId="0" xfId="0" applyFont="1" applyAlignment="1" applyProtection="1">
      <alignment wrapText="1"/>
    </xf>
    <xf numFmtId="0" fontId="12" fillId="0" borderId="0" xfId="0" applyFont="1" applyAlignment="1" applyProtection="1">
      <alignment wrapText="1"/>
    </xf>
    <xf numFmtId="172" fontId="140" fillId="0" borderId="0" xfId="289" applyFont="1" applyFill="1" applyAlignment="1" applyProtection="1">
      <alignment vertical="top" wrapText="1"/>
    </xf>
    <xf numFmtId="0" fontId="135" fillId="0" borderId="0" xfId="0" applyFont="1" applyFill="1" applyAlignment="1" applyProtection="1">
      <alignment vertical="top" wrapText="1"/>
    </xf>
    <xf numFmtId="172" fontId="26" fillId="0" borderId="0" xfId="289" applyFont="1" applyFill="1" applyAlignment="1" applyProtection="1">
      <alignment wrapText="1"/>
    </xf>
    <xf numFmtId="172" fontId="5" fillId="0" borderId="0" xfId="289" applyFont="1" applyFill="1" applyAlignment="1" applyProtection="1">
      <alignment vertical="top" wrapText="1"/>
    </xf>
    <xf numFmtId="0" fontId="5" fillId="0" borderId="0" xfId="0" applyFont="1" applyFill="1" applyAlignment="1" applyProtection="1">
      <alignment vertical="top" wrapText="1"/>
    </xf>
    <xf numFmtId="0" fontId="5" fillId="0" borderId="0" xfId="0" applyFont="1" applyFill="1" applyAlignment="1" applyProtection="1">
      <alignment wrapText="1"/>
    </xf>
    <xf numFmtId="172" fontId="119" fillId="0" borderId="0" xfId="289" applyFont="1" applyFill="1" applyAlignment="1" applyProtection="1">
      <alignment wrapText="1"/>
    </xf>
    <xf numFmtId="0" fontId="32" fillId="0" borderId="0" xfId="0" applyFont="1" applyAlignment="1" applyProtection="1">
      <alignment wrapText="1"/>
    </xf>
    <xf numFmtId="0" fontId="26" fillId="0" borderId="0" xfId="289" applyNumberFormat="1" applyFont="1" applyFill="1" applyAlignment="1" applyProtection="1">
      <alignment horizontal="left" wrapText="1"/>
    </xf>
    <xf numFmtId="0" fontId="5" fillId="0" borderId="0" xfId="0" applyFont="1" applyAlignment="1">
      <alignment horizontal="center"/>
    </xf>
    <xf numFmtId="0" fontId="5" fillId="0" borderId="0" xfId="236" applyFont="1" applyBorder="1" applyAlignment="1">
      <alignment horizontal="center"/>
    </xf>
    <xf numFmtId="0" fontId="9" fillId="0" borderId="47" xfId="293" applyFont="1" applyBorder="1" applyAlignment="1">
      <alignment horizontal="center" wrapText="1"/>
    </xf>
    <xf numFmtId="0" fontId="9" fillId="0" borderId="13" xfId="293" applyFont="1" applyBorder="1" applyAlignment="1">
      <alignment horizontal="center" wrapText="1"/>
    </xf>
    <xf numFmtId="0" fontId="9" fillId="0" borderId="48" xfId="293" applyFont="1" applyBorder="1" applyAlignment="1">
      <alignment horizontal="center" wrapText="1"/>
    </xf>
    <xf numFmtId="0" fontId="9" fillId="0" borderId="47" xfId="214" applyFont="1" applyBorder="1" applyAlignment="1">
      <alignment horizontal="center"/>
    </xf>
    <xf numFmtId="0" fontId="9" fillId="0" borderId="13" xfId="214" applyFont="1" applyBorder="1" applyAlignment="1">
      <alignment horizontal="center"/>
    </xf>
    <xf numFmtId="0" fontId="9" fillId="0" borderId="48" xfId="214" applyFont="1" applyBorder="1" applyAlignment="1">
      <alignment horizontal="center"/>
    </xf>
    <xf numFmtId="3" fontId="5" fillId="0" borderId="0" xfId="236" applyNumberFormat="1" applyFont="1" applyBorder="1" applyAlignment="1">
      <alignment horizontal="center"/>
    </xf>
    <xf numFmtId="0" fontId="12" fillId="0" borderId="0" xfId="236" applyFont="1" applyFill="1" applyBorder="1" applyAlignment="1">
      <alignment horizontal="left" wrapText="1"/>
    </xf>
    <xf numFmtId="0" fontId="17" fillId="0" borderId="0" xfId="281" applyFont="1" applyAlignment="1">
      <alignment horizontal="center" wrapText="1"/>
    </xf>
    <xf numFmtId="0" fontId="13" fillId="0" borderId="0" xfId="0" applyFont="1" applyAlignment="1">
      <alignment horizontal="center" wrapText="1"/>
    </xf>
    <xf numFmtId="3" fontId="5" fillId="0" borderId="0" xfId="0" applyNumberFormat="1" applyFont="1" applyAlignment="1">
      <alignment horizontal="center"/>
    </xf>
    <xf numFmtId="0" fontId="17" fillId="0" borderId="0" xfId="236" quotePrefix="1" applyFont="1" applyBorder="1" applyAlignment="1">
      <alignment horizontal="center" wrapText="1"/>
    </xf>
    <xf numFmtId="0" fontId="24" fillId="0" borderId="0" xfId="239" applyFont="1" applyAlignment="1">
      <alignment horizontal="left" wrapText="1"/>
    </xf>
    <xf numFmtId="0" fontId="24" fillId="0" borderId="0" xfId="239" applyFont="1" applyAlignment="1">
      <alignment horizontal="left" vertical="top" wrapText="1"/>
    </xf>
    <xf numFmtId="0" fontId="24" fillId="0" borderId="0" xfId="239" applyFont="1" applyFill="1" applyAlignment="1">
      <alignment horizontal="left" vertical="top" wrapText="1"/>
    </xf>
    <xf numFmtId="0" fontId="24" fillId="0" borderId="0" xfId="239" applyFont="1" applyFill="1" applyAlignment="1">
      <alignment horizontal="left" wrapText="1"/>
    </xf>
    <xf numFmtId="41" fontId="24" fillId="33" borderId="34" xfId="283" applyNumberFormat="1" applyFont="1" applyFill="1" applyBorder="1" applyAlignment="1" applyProtection="1">
      <alignment vertical="center"/>
      <protection locked="0"/>
    </xf>
    <xf numFmtId="0" fontId="24" fillId="0" borderId="0" xfId="239" applyFont="1" applyAlignment="1">
      <alignment horizontal="center" wrapText="1"/>
    </xf>
    <xf numFmtId="0" fontId="24" fillId="0" borderId="11" xfId="239" applyFont="1" applyBorder="1" applyAlignment="1">
      <alignment horizontal="center"/>
    </xf>
    <xf numFmtId="0" fontId="24" fillId="0" borderId="11" xfId="0" applyFont="1" applyBorder="1" applyAlignment="1">
      <alignment horizontal="center"/>
    </xf>
    <xf numFmtId="0" fontId="24" fillId="0" borderId="11" xfId="239" applyFont="1" applyBorder="1" applyAlignment="1">
      <alignment horizontal="center" wrapText="1"/>
    </xf>
    <xf numFmtId="0" fontId="25" fillId="0" borderId="0" xfId="239" applyFont="1" applyBorder="1" applyAlignment="1">
      <alignment horizontal="center" wrapText="1"/>
    </xf>
    <xf numFmtId="41" fontId="24" fillId="33" borderId="34" xfId="283" applyNumberFormat="1" applyFont="1" applyFill="1" applyBorder="1" applyAlignment="1" applyProtection="1">
      <alignment horizontal="left" vertical="center" wrapText="1"/>
      <protection locked="0"/>
    </xf>
    <xf numFmtId="172" fontId="2" fillId="0" borderId="0" xfId="382" applyFont="1" applyAlignment="1">
      <alignment horizontal="left" wrapText="1"/>
    </xf>
    <xf numFmtId="2" fontId="2" fillId="0" borderId="0" xfId="382" applyNumberFormat="1" applyFont="1" applyAlignment="1">
      <alignment horizontal="left" wrapText="1"/>
    </xf>
    <xf numFmtId="41" fontId="9" fillId="0" borderId="11" xfId="281" applyNumberFormat="1" applyFont="1" applyBorder="1" applyAlignment="1" applyProtection="1">
      <alignment horizontal="center"/>
      <protection locked="0"/>
    </xf>
    <xf numFmtId="172" fontId="2" fillId="0" borderId="0" xfId="382" applyFont="1" applyAlignment="1">
      <alignment horizontal="center" wrapText="1"/>
    </xf>
    <xf numFmtId="10" fontId="2" fillId="0" borderId="0" xfId="385" applyNumberFormat="1" applyFont="1" applyFill="1" applyAlignment="1">
      <alignment horizontal="center" wrapText="1"/>
    </xf>
    <xf numFmtId="172" fontId="2" fillId="0" borderId="0" xfId="382" applyFont="1" applyAlignment="1">
      <alignment horizontal="left" vertical="top" wrapText="1"/>
    </xf>
    <xf numFmtId="0" fontId="12" fillId="0" borderId="0" xfId="236" applyNumberFormat="1" applyFont="1" applyFill="1" applyBorder="1" applyAlignment="1">
      <alignment horizontal="left" wrapText="1"/>
    </xf>
    <xf numFmtId="0" fontId="81" fillId="0" borderId="0" xfId="236" applyNumberFormat="1" applyFont="1" applyFill="1" applyBorder="1" applyAlignment="1">
      <alignment horizontal="center"/>
    </xf>
    <xf numFmtId="0" fontId="81" fillId="0" borderId="0" xfId="281" applyFont="1" applyFill="1" applyAlignment="1">
      <alignment horizontal="center"/>
    </xf>
    <xf numFmtId="0" fontId="17" fillId="0" borderId="0" xfId="281" applyFont="1" applyBorder="1" applyAlignment="1">
      <alignment horizontal="center" wrapText="1"/>
    </xf>
    <xf numFmtId="0" fontId="13" fillId="0" borderId="0" xfId="0" applyFont="1" applyBorder="1" applyAlignment="1">
      <alignment horizontal="center" wrapText="1"/>
    </xf>
    <xf numFmtId="0" fontId="81" fillId="0" borderId="0" xfId="0" applyFont="1" applyFill="1" applyAlignment="1">
      <alignment horizontal="center"/>
    </xf>
    <xf numFmtId="0" fontId="5" fillId="0" borderId="0" xfId="0" applyFont="1" applyAlignment="1" applyProtection="1">
      <alignment horizontal="center"/>
    </xf>
    <xf numFmtId="0" fontId="5" fillId="0" borderId="0" xfId="236" applyFont="1" applyBorder="1" applyAlignment="1" applyProtection="1">
      <alignment horizontal="center"/>
    </xf>
    <xf numFmtId="3" fontId="5" fillId="0" borderId="0" xfId="0" applyNumberFormat="1" applyFont="1" applyAlignment="1" applyProtection="1">
      <alignment horizontal="center"/>
    </xf>
    <xf numFmtId="172" fontId="12" fillId="0" borderId="0" xfId="289" applyFont="1" applyFill="1" applyAlignment="1" applyProtection="1">
      <alignment horizontal="left" vertical="top" wrapText="1"/>
    </xf>
    <xf numFmtId="0" fontId="9" fillId="0" borderId="0" xfId="294" applyFont="1" applyFill="1" applyAlignment="1" applyProtection="1">
      <alignment wrapText="1"/>
    </xf>
    <xf numFmtId="3" fontId="4" fillId="0" borderId="0" xfId="0" applyNumberFormat="1" applyFont="1" applyAlignment="1" applyProtection="1">
      <alignment horizontal="center"/>
    </xf>
    <xf numFmtId="0" fontId="10" fillId="0" borderId="0" xfId="294" applyFont="1" applyFill="1" applyAlignment="1" applyProtection="1">
      <alignment horizontal="center"/>
    </xf>
    <xf numFmtId="3" fontId="4" fillId="0" borderId="0" xfId="0" applyNumberFormat="1" applyFont="1" applyAlignment="1">
      <alignment horizontal="center"/>
    </xf>
    <xf numFmtId="0" fontId="12" fillId="0" borderId="0" xfId="0" applyFont="1" applyAlignment="1">
      <alignment vertical="top" wrapText="1"/>
    </xf>
    <xf numFmtId="0" fontId="74" fillId="0" borderId="11" xfId="290" applyFont="1" applyBorder="1" applyAlignment="1">
      <alignment horizontal="center"/>
    </xf>
    <xf numFmtId="0" fontId="71" fillId="0" borderId="0" xfId="290" applyFont="1" applyFill="1" applyAlignment="1">
      <alignment horizontal="left" wrapText="1"/>
    </xf>
    <xf numFmtId="0" fontId="71" fillId="0" borderId="0" xfId="290" applyFont="1" applyFill="1" applyAlignment="1">
      <alignment wrapText="1"/>
    </xf>
    <xf numFmtId="0" fontId="4" fillId="0" borderId="0" xfId="236" applyFont="1" applyBorder="1" applyAlignment="1">
      <alignment horizontal="center"/>
    </xf>
    <xf numFmtId="0" fontId="4" fillId="0" borderId="0" xfId="0" applyFont="1" applyAlignment="1">
      <alignment horizontal="center"/>
    </xf>
    <xf numFmtId="0" fontId="69" fillId="33" borderId="0" xfId="0" applyFont="1" applyFill="1" applyAlignment="1" applyProtection="1">
      <alignment horizontal="left" wrapText="1"/>
      <protection locked="0"/>
    </xf>
    <xf numFmtId="0" fontId="0" fillId="33" borderId="0" xfId="0" applyFill="1" applyAlignment="1" applyProtection="1">
      <alignment wrapText="1"/>
      <protection locked="0"/>
    </xf>
    <xf numFmtId="173" fontId="100" fillId="0" borderId="0" xfId="90" applyNumberFormat="1" applyFont="1" applyBorder="1" applyAlignment="1" applyProtection="1">
      <alignment horizontal="center"/>
    </xf>
    <xf numFmtId="0" fontId="0" fillId="0" borderId="0" xfId="0" applyNumberFormat="1" applyAlignment="1" applyProtection="1">
      <alignment horizontal="left" wrapText="1"/>
    </xf>
    <xf numFmtId="172" fontId="2" fillId="0" borderId="21" xfId="289" applyFont="1" applyBorder="1" applyAlignment="1" applyProtection="1">
      <alignment wrapText="1"/>
    </xf>
    <xf numFmtId="0" fontId="2" fillId="0" borderId="15" xfId="0" applyFont="1" applyBorder="1" applyAlignment="1" applyProtection="1">
      <alignment wrapText="1"/>
    </xf>
    <xf numFmtId="0" fontId="2" fillId="0" borderId="25" xfId="0" applyFont="1" applyBorder="1" applyAlignment="1" applyProtection="1">
      <alignment wrapText="1"/>
    </xf>
    <xf numFmtId="0" fontId="2" fillId="0" borderId="17" xfId="0" applyFont="1" applyBorder="1" applyAlignment="1" applyProtection="1">
      <alignment wrapText="1"/>
    </xf>
    <xf numFmtId="0" fontId="2" fillId="0" borderId="0" xfId="0" applyFont="1" applyBorder="1" applyAlignment="1" applyProtection="1">
      <alignment wrapText="1"/>
    </xf>
    <xf numFmtId="0" fontId="2" fillId="0" borderId="18" xfId="0" applyFont="1" applyBorder="1" applyAlignment="1" applyProtection="1">
      <alignment wrapText="1"/>
    </xf>
    <xf numFmtId="0" fontId="4" fillId="0" borderId="0" xfId="0" applyFont="1" applyFill="1" applyAlignment="1" applyProtection="1">
      <alignment wrapText="1"/>
    </xf>
    <xf numFmtId="0" fontId="0" fillId="0" borderId="0" xfId="0" applyAlignment="1" applyProtection="1">
      <alignment wrapText="1"/>
    </xf>
    <xf numFmtId="0" fontId="69" fillId="33" borderId="0" xfId="0" applyFont="1" applyFill="1" applyAlignment="1" applyProtection="1">
      <alignment horizontal="left" vertical="top" wrapText="1"/>
      <protection locked="0"/>
    </xf>
    <xf numFmtId="0" fontId="0" fillId="33" borderId="0" xfId="0" applyFill="1" applyAlignment="1" applyProtection="1">
      <alignment vertical="top" wrapText="1"/>
      <protection locked="0"/>
    </xf>
    <xf numFmtId="0" fontId="12" fillId="0" borderId="0" xfId="0" applyFont="1" applyFill="1" applyBorder="1" applyAlignment="1" applyProtection="1">
      <alignment wrapText="1"/>
    </xf>
    <xf numFmtId="173" fontId="100" fillId="0" borderId="0" xfId="86" applyNumberFormat="1" applyFont="1" applyBorder="1" applyAlignment="1" applyProtection="1">
      <alignment horizontal="center"/>
    </xf>
    <xf numFmtId="0" fontId="12" fillId="0" borderId="0" xfId="284" applyFont="1" applyFill="1" applyAlignment="1" applyProtection="1">
      <alignment horizontal="left" wrapText="1"/>
    </xf>
    <xf numFmtId="0" fontId="12" fillId="0" borderId="0" xfId="208" applyFont="1" applyFill="1" applyAlignment="1" applyProtection="1">
      <alignment wrapText="1"/>
    </xf>
    <xf numFmtId="0" fontId="93" fillId="0" borderId="0" xfId="284" applyFont="1" applyFill="1" applyAlignment="1" applyProtection="1">
      <alignment horizontal="left" wrapText="1"/>
    </xf>
    <xf numFmtId="0" fontId="63" fillId="0" borderId="0" xfId="0" applyFont="1" applyAlignment="1" applyProtection="1">
      <alignment vertical="top" wrapText="1"/>
    </xf>
    <xf numFmtId="0" fontId="12" fillId="0" borderId="0" xfId="0" applyFont="1" applyAlignment="1" applyProtection="1">
      <alignment vertical="top" wrapText="1"/>
    </xf>
    <xf numFmtId="41" fontId="9" fillId="0" borderId="0" xfId="284" applyNumberFormat="1" applyFont="1" applyFill="1" applyBorder="1" applyAlignment="1" applyProtection="1">
      <alignment horizontal="center" wrapText="1"/>
    </xf>
    <xf numFmtId="0" fontId="9" fillId="0" borderId="47" xfId="0" applyFont="1" applyBorder="1" applyAlignment="1">
      <alignment horizontal="center"/>
    </xf>
    <xf numFmtId="0" fontId="9" fillId="0" borderId="13" xfId="0" applyFont="1" applyBorder="1" applyAlignment="1">
      <alignment horizontal="center"/>
    </xf>
    <xf numFmtId="0" fontId="9" fillId="0" borderId="48" xfId="0" applyFont="1" applyBorder="1" applyAlignment="1">
      <alignment horizontal="center"/>
    </xf>
    <xf numFmtId="0" fontId="99" fillId="0" borderId="0" xfId="0" applyFont="1" applyAlignment="1">
      <alignment horizontal="center" wrapText="1"/>
    </xf>
    <xf numFmtId="0" fontId="9" fillId="0" borderId="0" xfId="0" applyFont="1" applyAlignment="1">
      <alignment horizontal="center" wrapText="1"/>
    </xf>
    <xf numFmtId="0" fontId="20" fillId="33"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9" fillId="0" borderId="0" xfId="0" applyFont="1" applyAlignment="1">
      <alignment horizontal="left" wrapText="1"/>
    </xf>
    <xf numFmtId="0" fontId="140" fillId="0" borderId="0" xfId="0" applyFont="1" applyAlignment="1">
      <alignment horizontal="center"/>
    </xf>
    <xf numFmtId="0" fontId="140" fillId="0" borderId="0" xfId="236" applyFont="1" applyBorder="1" applyAlignment="1">
      <alignment horizontal="center"/>
    </xf>
    <xf numFmtId="0" fontId="145" fillId="0" borderId="0" xfId="0" applyFont="1" applyAlignment="1">
      <alignment horizontal="center"/>
    </xf>
    <xf numFmtId="0" fontId="140" fillId="0" borderId="0" xfId="236" applyFont="1" applyFill="1" applyBorder="1" applyAlignment="1">
      <alignment horizontal="center"/>
    </xf>
    <xf numFmtId="3" fontId="140" fillId="0" borderId="0" xfId="0" applyNumberFormat="1" applyFont="1" applyAlignment="1">
      <alignment horizontal="center"/>
    </xf>
    <xf numFmtId="0" fontId="147" fillId="0" borderId="0" xfId="0" applyFont="1" applyAlignment="1">
      <alignment horizontal="center"/>
    </xf>
    <xf numFmtId="0" fontId="153" fillId="0" borderId="0" xfId="0" applyFont="1" applyAlignment="1">
      <alignment horizontal="left" wrapText="1"/>
    </xf>
    <xf numFmtId="0" fontId="145" fillId="0" borderId="0" xfId="0" applyFont="1" applyAlignment="1">
      <alignment wrapText="1"/>
    </xf>
    <xf numFmtId="0" fontId="145" fillId="0" borderId="0" xfId="0" applyFont="1" applyFill="1" applyAlignment="1">
      <alignment horizontal="left" wrapText="1"/>
    </xf>
    <xf numFmtId="0" fontId="147" fillId="0" borderId="0" xfId="0" applyFont="1" applyAlignment="1">
      <alignment horizontal="center" wrapText="1"/>
    </xf>
    <xf numFmtId="173" fontId="147" fillId="0" borderId="0" xfId="119" applyNumberFormat="1" applyFont="1" applyAlignment="1">
      <alignment horizontal="center" wrapText="1"/>
    </xf>
    <xf numFmtId="0" fontId="110" fillId="0" borderId="0" xfId="292" applyFont="1" applyAlignment="1">
      <alignment horizontal="center"/>
    </xf>
    <xf numFmtId="0" fontId="3" fillId="0" borderId="0" xfId="397" applyAlignment="1">
      <alignment horizontal="left" vertical="center" wrapText="1"/>
    </xf>
    <xf numFmtId="0" fontId="3" fillId="0" borderId="0" xfId="397" applyAlignment="1">
      <alignment horizontal="left" wrapText="1"/>
    </xf>
    <xf numFmtId="0" fontId="5" fillId="0" borderId="0" xfId="390" applyFont="1" applyAlignment="1">
      <alignment vertical="top" wrapText="1"/>
    </xf>
    <xf numFmtId="0" fontId="5" fillId="0" borderId="0" xfId="391" applyFont="1" applyAlignment="1">
      <alignment wrapText="1"/>
    </xf>
    <xf numFmtId="3" fontId="110" fillId="0" borderId="0" xfId="292" applyNumberFormat="1" applyFont="1" applyAlignment="1">
      <alignment horizontal="center"/>
    </xf>
    <xf numFmtId="44" fontId="110" fillId="0" borderId="0" xfId="389" applyFont="1" applyAlignment="1" applyProtection="1">
      <alignment horizontal="center"/>
    </xf>
    <xf numFmtId="0" fontId="77" fillId="0" borderId="30" xfId="292" applyFont="1" applyBorder="1" applyAlignment="1">
      <alignment horizontal="center"/>
    </xf>
    <xf numFmtId="0" fontId="77" fillId="0" borderId="0" xfId="401" applyFont="1" applyAlignment="1">
      <alignment vertical="center" wrapText="1"/>
    </xf>
    <xf numFmtId="44" fontId="110" fillId="0" borderId="0" xfId="389" applyFont="1" applyAlignment="1">
      <alignment horizontal="center"/>
    </xf>
    <xf numFmtId="0" fontId="77" fillId="0" borderId="0" xfId="400" applyFont="1" applyAlignment="1">
      <alignment vertical="center" wrapText="1"/>
    </xf>
    <xf numFmtId="0" fontId="77" fillId="0" borderId="0" xfId="402" applyFont="1" applyAlignment="1">
      <alignment vertical="center" wrapText="1"/>
    </xf>
    <xf numFmtId="0" fontId="77" fillId="0" borderId="0" xfId="403" applyFont="1" applyAlignment="1">
      <alignment vertical="center" wrapText="1"/>
    </xf>
    <xf numFmtId="0" fontId="77" fillId="0" borderId="0" xfId="404" applyFont="1" applyAlignment="1">
      <alignment vertical="center" wrapText="1"/>
    </xf>
    <xf numFmtId="0" fontId="141" fillId="0" borderId="0" xfId="292" applyFont="1" applyAlignment="1">
      <alignment horizontal="center"/>
    </xf>
    <xf numFmtId="0" fontId="3" fillId="0" borderId="0" xfId="292" applyAlignment="1">
      <alignment wrapText="1"/>
    </xf>
    <xf numFmtId="0" fontId="5" fillId="0" borderId="0" xfId="391" applyFont="1" applyAlignment="1">
      <alignment vertical="top" wrapText="1"/>
    </xf>
    <xf numFmtId="0" fontId="3" fillId="0" borderId="0" xfId="292" applyAlignment="1">
      <alignment horizontal="left" wrapText="1"/>
    </xf>
    <xf numFmtId="0" fontId="77" fillId="0" borderId="0" xfId="0" applyFont="1" applyAlignment="1" applyProtection="1">
      <alignment horizontal="center"/>
    </xf>
    <xf numFmtId="0" fontId="6" fillId="0" borderId="0" xfId="0" applyFont="1" applyFill="1" applyAlignment="1" applyProtection="1">
      <alignment horizontal="center"/>
    </xf>
    <xf numFmtId="0" fontId="123" fillId="0" borderId="0" xfId="0" applyFont="1" applyFill="1" applyAlignment="1" applyProtection="1">
      <alignment horizontal="center" wrapText="1"/>
    </xf>
  </cellXfs>
  <cellStyles count="40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0" xfId="87" xr:uid="{00000000-0005-0000-0000-000056000000}"/>
    <cellStyle name="Comma 10 2" xfId="405" xr:uid="{CC26A5D9-1754-4E6D-92A0-2D1F941BB218}"/>
    <cellStyle name="Comma 11" xfId="88" xr:uid="{00000000-0005-0000-0000-000057000000}"/>
    <cellStyle name="Comma 12" xfId="384" xr:uid="{D0B50300-E7E9-463E-9865-FED06F4D9318}"/>
    <cellStyle name="Comma 12 2" xfId="89" xr:uid="{00000000-0005-0000-0000-000058000000}"/>
    <cellStyle name="Comma 13" xfId="388" xr:uid="{C4E135CA-175C-41FE-BB73-682D95D4247B}"/>
    <cellStyle name="Comma 2" xfId="90" xr:uid="{00000000-0005-0000-0000-000059000000}"/>
    <cellStyle name="Comma 2 2" xfId="91" xr:uid="{00000000-0005-0000-0000-00005A000000}"/>
    <cellStyle name="Comma 2 3" xfId="392" xr:uid="{E1EAC7E9-A8C7-4FCE-A611-B3BB2136443E}"/>
    <cellStyle name="Comma 3" xfId="92" xr:uid="{00000000-0005-0000-0000-00005B000000}"/>
    <cellStyle name="Comma 3 10" xfId="93" xr:uid="{00000000-0005-0000-0000-00005C000000}"/>
    <cellStyle name="Comma 3 11" xfId="94" xr:uid="{00000000-0005-0000-0000-00005D000000}"/>
    <cellStyle name="Comma 3 2" xfId="95" xr:uid="{00000000-0005-0000-0000-00005E000000}"/>
    <cellStyle name="Comma 3 3" xfId="96" xr:uid="{00000000-0005-0000-0000-00005F000000}"/>
    <cellStyle name="Comma 3 3 2" xfId="97" xr:uid="{00000000-0005-0000-0000-000060000000}"/>
    <cellStyle name="Comma 3 3 3" xfId="98" xr:uid="{00000000-0005-0000-0000-000061000000}"/>
    <cellStyle name="Comma 3 4" xfId="99" xr:uid="{00000000-0005-0000-0000-000062000000}"/>
    <cellStyle name="Comma 3 4 2" xfId="100" xr:uid="{00000000-0005-0000-0000-000063000000}"/>
    <cellStyle name="Comma 3 4 3" xfId="101" xr:uid="{00000000-0005-0000-0000-000064000000}"/>
    <cellStyle name="Comma 3 5" xfId="102" xr:uid="{00000000-0005-0000-0000-000065000000}"/>
    <cellStyle name="Comma 3 6" xfId="103" xr:uid="{00000000-0005-0000-0000-000066000000}"/>
    <cellStyle name="Comma 3 6 2" xfId="104" xr:uid="{00000000-0005-0000-0000-000067000000}"/>
    <cellStyle name="Comma 3 7" xfId="105" xr:uid="{00000000-0005-0000-0000-000068000000}"/>
    <cellStyle name="Comma 3 7 2" xfId="106" xr:uid="{00000000-0005-0000-0000-000069000000}"/>
    <cellStyle name="Comma 3 8" xfId="107" xr:uid="{00000000-0005-0000-0000-00006A000000}"/>
    <cellStyle name="Comma 3 8 2" xfId="108" xr:uid="{00000000-0005-0000-0000-00006B000000}"/>
    <cellStyle name="Comma 3 9" xfId="109" xr:uid="{00000000-0005-0000-0000-00006C000000}"/>
    <cellStyle name="Comma 3 9 2" xfId="110" xr:uid="{00000000-0005-0000-0000-00006D000000}"/>
    <cellStyle name="Comma 3 9 3" xfId="111" xr:uid="{00000000-0005-0000-0000-00006E000000}"/>
    <cellStyle name="Comma 4" xfId="112" xr:uid="{00000000-0005-0000-0000-00006F000000}"/>
    <cellStyle name="Comma 4 2" xfId="113" xr:uid="{00000000-0005-0000-0000-000070000000}"/>
    <cellStyle name="Comma 5" xfId="114" xr:uid="{00000000-0005-0000-0000-000071000000}"/>
    <cellStyle name="Comma 5 2" xfId="115" xr:uid="{00000000-0005-0000-0000-000072000000}"/>
    <cellStyle name="Comma 6" xfId="116" xr:uid="{00000000-0005-0000-0000-000073000000}"/>
    <cellStyle name="Comma 6 2" xfId="117" xr:uid="{00000000-0005-0000-0000-000074000000}"/>
    <cellStyle name="Comma 6 3" xfId="118" xr:uid="{00000000-0005-0000-0000-000075000000}"/>
    <cellStyle name="Comma 7" xfId="119" xr:uid="{00000000-0005-0000-0000-000076000000}"/>
    <cellStyle name="Comma 7 2" xfId="120" xr:uid="{00000000-0005-0000-0000-000077000000}"/>
    <cellStyle name="Comma 7 3" xfId="121" xr:uid="{00000000-0005-0000-0000-000078000000}"/>
    <cellStyle name="Comma 8" xfId="122" xr:uid="{00000000-0005-0000-0000-000079000000}"/>
    <cellStyle name="Comma 8 2" xfId="123" xr:uid="{00000000-0005-0000-0000-00007A000000}"/>
    <cellStyle name="Comma 9" xfId="124" xr:uid="{00000000-0005-0000-0000-00007B000000}"/>
    <cellStyle name="Comma 9 2" xfId="125" xr:uid="{00000000-0005-0000-0000-00007C000000}"/>
    <cellStyle name="Comma 9 3" xfId="126" xr:uid="{00000000-0005-0000-0000-00007D000000}"/>
    <cellStyle name="Comma_spp calc - revsd rev crd" xfId="127" xr:uid="{00000000-0005-0000-0000-00007E000000}"/>
    <cellStyle name="Comma0" xfId="128" xr:uid="{00000000-0005-0000-0000-00007F000000}"/>
    <cellStyle name="Currency" xfId="129" builtinId="4"/>
    <cellStyle name="Currency 10" xfId="130" xr:uid="{00000000-0005-0000-0000-000081000000}"/>
    <cellStyle name="Currency 2" xfId="131" xr:uid="{00000000-0005-0000-0000-000082000000}"/>
    <cellStyle name="Currency 2 2" xfId="132" xr:uid="{00000000-0005-0000-0000-000083000000}"/>
    <cellStyle name="Currency 2 3" xfId="389" xr:uid="{8CC4FB52-E72A-42B4-A220-38F4ADB78ADE}"/>
    <cellStyle name="Currency 3" xfId="133" xr:uid="{00000000-0005-0000-0000-000084000000}"/>
    <cellStyle name="Currency 3 10" xfId="134" xr:uid="{00000000-0005-0000-0000-000085000000}"/>
    <cellStyle name="Currency 3 2" xfId="135" xr:uid="{00000000-0005-0000-0000-000086000000}"/>
    <cellStyle name="Currency 3 3" xfId="136" xr:uid="{00000000-0005-0000-0000-000087000000}"/>
    <cellStyle name="Currency 3 3 2" xfId="137" xr:uid="{00000000-0005-0000-0000-000088000000}"/>
    <cellStyle name="Currency 3 3 3" xfId="138" xr:uid="{00000000-0005-0000-0000-000089000000}"/>
    <cellStyle name="Currency 3 4" xfId="139" xr:uid="{00000000-0005-0000-0000-00008A000000}"/>
    <cellStyle name="Currency 3 4 2" xfId="140" xr:uid="{00000000-0005-0000-0000-00008B000000}"/>
    <cellStyle name="Currency 3 4 3" xfId="141" xr:uid="{00000000-0005-0000-0000-00008C000000}"/>
    <cellStyle name="Currency 3 5" xfId="142" xr:uid="{00000000-0005-0000-0000-00008D000000}"/>
    <cellStyle name="Currency 3 6" xfId="143" xr:uid="{00000000-0005-0000-0000-00008E000000}"/>
    <cellStyle name="Currency 3 6 2" xfId="144" xr:uid="{00000000-0005-0000-0000-00008F000000}"/>
    <cellStyle name="Currency 3 7" xfId="145" xr:uid="{00000000-0005-0000-0000-000090000000}"/>
    <cellStyle name="Currency 3 7 2" xfId="146" xr:uid="{00000000-0005-0000-0000-000091000000}"/>
    <cellStyle name="Currency 3 8" xfId="147" xr:uid="{00000000-0005-0000-0000-000092000000}"/>
    <cellStyle name="Currency 3 8 2" xfId="148" xr:uid="{00000000-0005-0000-0000-000093000000}"/>
    <cellStyle name="Currency 3 8 3" xfId="149" xr:uid="{00000000-0005-0000-0000-000094000000}"/>
    <cellStyle name="Currency 3 9" xfId="150" xr:uid="{00000000-0005-0000-0000-000095000000}"/>
    <cellStyle name="Currency 4" xfId="151" xr:uid="{00000000-0005-0000-0000-000096000000}"/>
    <cellStyle name="Currency 4 2" xfId="152" xr:uid="{00000000-0005-0000-0000-000097000000}"/>
    <cellStyle name="Currency 5" xfId="153" xr:uid="{00000000-0005-0000-0000-000098000000}"/>
    <cellStyle name="Currency 5 2" xfId="154" xr:uid="{00000000-0005-0000-0000-000099000000}"/>
    <cellStyle name="Currency 6" xfId="155" xr:uid="{00000000-0005-0000-0000-00009A000000}"/>
    <cellStyle name="Currency 7" xfId="156" xr:uid="{00000000-0005-0000-0000-00009B000000}"/>
    <cellStyle name="Currency 7 2" xfId="157" xr:uid="{00000000-0005-0000-0000-00009C000000}"/>
    <cellStyle name="Currency 8" xfId="158" xr:uid="{00000000-0005-0000-0000-00009D000000}"/>
    <cellStyle name="Currency 8 2" xfId="159" xr:uid="{00000000-0005-0000-0000-00009E000000}"/>
    <cellStyle name="Currency 8 3" xfId="160" xr:uid="{00000000-0005-0000-0000-00009F000000}"/>
    <cellStyle name="Currency 9" xfId="161" xr:uid="{00000000-0005-0000-0000-0000A0000000}"/>
    <cellStyle name="Currency0" xfId="162" xr:uid="{00000000-0005-0000-0000-0000A1000000}"/>
    <cellStyle name="Date" xfId="163" xr:uid="{00000000-0005-0000-0000-0000A2000000}"/>
    <cellStyle name="Explanatory Text" xfId="164" builtinId="53" customBuiltin="1"/>
    <cellStyle name="Explanatory Text 2" xfId="165" xr:uid="{00000000-0005-0000-0000-0000A4000000}"/>
    <cellStyle name="Fixed" xfId="166" xr:uid="{00000000-0005-0000-0000-0000A5000000}"/>
    <cellStyle name="Good" xfId="167" builtinId="26" customBuiltin="1"/>
    <cellStyle name="Good 2" xfId="168" xr:uid="{00000000-0005-0000-0000-0000A7000000}"/>
    <cellStyle name="Heading 1" xfId="169" builtinId="16" customBuiltin="1"/>
    <cellStyle name="Heading 1 2" xfId="170" xr:uid="{00000000-0005-0000-0000-0000A9000000}"/>
    <cellStyle name="Heading 2" xfId="171" builtinId="17" customBuiltin="1"/>
    <cellStyle name="Heading 2 2" xfId="172" xr:uid="{00000000-0005-0000-0000-0000AB000000}"/>
    <cellStyle name="Heading 3" xfId="173" builtinId="18" customBuiltin="1"/>
    <cellStyle name="Heading 3 2" xfId="174" xr:uid="{00000000-0005-0000-0000-0000AD000000}"/>
    <cellStyle name="Heading 4" xfId="175" builtinId="19" customBuiltin="1"/>
    <cellStyle name="Heading 4 2" xfId="176" xr:uid="{00000000-0005-0000-0000-0000AF000000}"/>
    <cellStyle name="Heading1" xfId="177" xr:uid="{00000000-0005-0000-0000-0000B0000000}"/>
    <cellStyle name="Heading2" xfId="178" xr:uid="{00000000-0005-0000-0000-0000B1000000}"/>
    <cellStyle name="Input" xfId="179" builtinId="20" customBuiltin="1"/>
    <cellStyle name="Input 2" xfId="180" xr:uid="{00000000-0005-0000-0000-0000B3000000}"/>
    <cellStyle name="Linked Cell" xfId="181" builtinId="24" customBuiltin="1"/>
    <cellStyle name="Linked Cell 2" xfId="182" xr:uid="{00000000-0005-0000-0000-0000B5000000}"/>
    <cellStyle name="Neutral" xfId="183" builtinId="28" customBuiltin="1"/>
    <cellStyle name="Neutral 2" xfId="184" xr:uid="{00000000-0005-0000-0000-0000B7000000}"/>
    <cellStyle name="Normal" xfId="0" builtinId="0"/>
    <cellStyle name="Normal 10" xfId="185" xr:uid="{00000000-0005-0000-0000-0000B9000000}"/>
    <cellStyle name="Normal 10 2" xfId="186" xr:uid="{00000000-0005-0000-0000-0000BA000000}"/>
    <cellStyle name="Normal 10 3" xfId="187" xr:uid="{00000000-0005-0000-0000-0000BB000000}"/>
    <cellStyle name="Normal 11" xfId="188" xr:uid="{00000000-0005-0000-0000-0000BC000000}"/>
    <cellStyle name="Normal 11 2" xfId="189" xr:uid="{00000000-0005-0000-0000-0000BD000000}"/>
    <cellStyle name="Normal 11 2 2" xfId="190" xr:uid="{00000000-0005-0000-0000-0000BE000000}"/>
    <cellStyle name="Normal 11 2 3" xfId="391" xr:uid="{EBD1C306-456C-4D29-9FF6-0B28B7BA545B}"/>
    <cellStyle name="Normal 11 3" xfId="191" xr:uid="{00000000-0005-0000-0000-0000BF000000}"/>
    <cellStyle name="Normal 12" xfId="192" xr:uid="{00000000-0005-0000-0000-0000C0000000}"/>
    <cellStyle name="Normal 12 2" xfId="193" xr:uid="{00000000-0005-0000-0000-0000C1000000}"/>
    <cellStyle name="Normal 12 4" xfId="194" xr:uid="{00000000-0005-0000-0000-0000C2000000}"/>
    <cellStyle name="Normal 13" xfId="195" xr:uid="{00000000-0005-0000-0000-0000C3000000}"/>
    <cellStyle name="Normal 13 2" xfId="196" xr:uid="{00000000-0005-0000-0000-0000C4000000}"/>
    <cellStyle name="Normal 14" xfId="197" xr:uid="{00000000-0005-0000-0000-0000C5000000}"/>
    <cellStyle name="Normal 14 2" xfId="198" xr:uid="{00000000-0005-0000-0000-0000C6000000}"/>
    <cellStyle name="Normal 15" xfId="199" xr:uid="{00000000-0005-0000-0000-0000C7000000}"/>
    <cellStyle name="Normal 16" xfId="200" xr:uid="{00000000-0005-0000-0000-0000C8000000}"/>
    <cellStyle name="Normal 16 2" xfId="201" xr:uid="{00000000-0005-0000-0000-0000C9000000}"/>
    <cellStyle name="Normal 17" xfId="202" xr:uid="{00000000-0005-0000-0000-0000CA000000}"/>
    <cellStyle name="Normal 17 2" xfId="203" xr:uid="{00000000-0005-0000-0000-0000CB000000}"/>
    <cellStyle name="Normal 18" xfId="204" xr:uid="{00000000-0005-0000-0000-0000CC000000}"/>
    <cellStyle name="Normal 18 2" xfId="205" xr:uid="{00000000-0005-0000-0000-0000CD000000}"/>
    <cellStyle name="Normal 19" xfId="206" xr:uid="{00000000-0005-0000-0000-0000CE000000}"/>
    <cellStyle name="Normal 19 2" xfId="207" xr:uid="{00000000-0005-0000-0000-0000CF000000}"/>
    <cellStyle name="Normal 2" xfId="208" xr:uid="{00000000-0005-0000-0000-0000D0000000}"/>
    <cellStyle name="Normal 2 2" xfId="209" xr:uid="{00000000-0005-0000-0000-0000D1000000}"/>
    <cellStyle name="Normal 2 2 2" xfId="210" xr:uid="{00000000-0005-0000-0000-0000D2000000}"/>
    <cellStyle name="Normal 2 2 3" xfId="211" xr:uid="{00000000-0005-0000-0000-0000D3000000}"/>
    <cellStyle name="Normal 2 2 4" xfId="212" xr:uid="{00000000-0005-0000-0000-0000D4000000}"/>
    <cellStyle name="Normal 2 3" xfId="213" xr:uid="{00000000-0005-0000-0000-0000D5000000}"/>
    <cellStyle name="Normal 2 4" xfId="394" xr:uid="{6132B4F6-0D5A-44B0-94D9-BDBD41CCF181}"/>
    <cellStyle name="Normal 2 5" xfId="214" xr:uid="{00000000-0005-0000-0000-0000D6000000}"/>
    <cellStyle name="Normal 2 5 2" xfId="215" xr:uid="{00000000-0005-0000-0000-0000D7000000}"/>
    <cellStyle name="Normal 20" xfId="216" xr:uid="{00000000-0005-0000-0000-0000D8000000}"/>
    <cellStyle name="Normal 20 2" xfId="217" xr:uid="{00000000-0005-0000-0000-0000D9000000}"/>
    <cellStyle name="Normal 21" xfId="218" xr:uid="{00000000-0005-0000-0000-0000DA000000}"/>
    <cellStyle name="Normal 21 2" xfId="219" xr:uid="{00000000-0005-0000-0000-0000DB000000}"/>
    <cellStyle name="Normal 22" xfId="220" xr:uid="{00000000-0005-0000-0000-0000DC000000}"/>
    <cellStyle name="Normal 22 2" xfId="221" xr:uid="{00000000-0005-0000-0000-0000DD000000}"/>
    <cellStyle name="Normal 23" xfId="222" xr:uid="{00000000-0005-0000-0000-0000DE000000}"/>
    <cellStyle name="Normal 23 2" xfId="223" xr:uid="{00000000-0005-0000-0000-0000DF000000}"/>
    <cellStyle name="Normal 24" xfId="224" xr:uid="{00000000-0005-0000-0000-0000E0000000}"/>
    <cellStyle name="Normal 24 2" xfId="225" xr:uid="{00000000-0005-0000-0000-0000E1000000}"/>
    <cellStyle name="Normal 25" xfId="226" xr:uid="{00000000-0005-0000-0000-0000E2000000}"/>
    <cellStyle name="Normal 25 2" xfId="227" xr:uid="{00000000-0005-0000-0000-0000E3000000}"/>
    <cellStyle name="Normal 26" xfId="228" xr:uid="{00000000-0005-0000-0000-0000E4000000}"/>
    <cellStyle name="Normal 26 2" xfId="229" xr:uid="{00000000-0005-0000-0000-0000E5000000}"/>
    <cellStyle name="Normal 27" xfId="230" xr:uid="{00000000-0005-0000-0000-0000E6000000}"/>
    <cellStyle name="Normal 28" xfId="231" xr:uid="{00000000-0005-0000-0000-0000E7000000}"/>
    <cellStyle name="Normal 28 2" xfId="232" xr:uid="{00000000-0005-0000-0000-0000E8000000}"/>
    <cellStyle name="Normal 29" xfId="233" xr:uid="{00000000-0005-0000-0000-0000E9000000}"/>
    <cellStyle name="Normal 29 2" xfId="234" xr:uid="{00000000-0005-0000-0000-0000EA000000}"/>
    <cellStyle name="Normal 3" xfId="235" xr:uid="{00000000-0005-0000-0000-0000EB000000}"/>
    <cellStyle name="Normal 3 2" xfId="236" xr:uid="{00000000-0005-0000-0000-0000EC000000}"/>
    <cellStyle name="Normal 3 3" xfId="237" xr:uid="{00000000-0005-0000-0000-0000ED000000}"/>
    <cellStyle name="Normal 3_Attach O, GG, Support -New Method 2-14-11" xfId="238" xr:uid="{00000000-0005-0000-0000-0000EE000000}"/>
    <cellStyle name="Normal 31" xfId="239" xr:uid="{00000000-0005-0000-0000-0000EF000000}"/>
    <cellStyle name="Normal 31 2 2" xfId="383" xr:uid="{0044DDD8-6F43-4E59-B275-A2B4A387C558}"/>
    <cellStyle name="Normal 32" xfId="395" xr:uid="{8F7FC949-0A6F-4FA9-83CE-7FBB56661F57}"/>
    <cellStyle name="Normal 33" xfId="396" xr:uid="{787DBDB9-5123-4DE7-B9F7-4442DC9E5273}"/>
    <cellStyle name="Normal 33 2" xfId="382" xr:uid="{01408EE7-9C2F-4AAC-A9AB-D63A10EFBE8F}"/>
    <cellStyle name="Normal 34" xfId="386" xr:uid="{54E83C02-A8E1-4521-976F-2AA0A87E689D}"/>
    <cellStyle name="Normal 35" xfId="397" xr:uid="{BE0BE3D2-9DEE-4FF7-87A6-E7E36A58083E}"/>
    <cellStyle name="Normal 37" xfId="398" xr:uid="{4BE317E3-ADE1-4EA2-9885-011BAE14A001}"/>
    <cellStyle name="Normal 38" xfId="399" xr:uid="{2841E7D8-6E96-4D0F-8DEC-94948DD26825}"/>
    <cellStyle name="Normal 39" xfId="400" xr:uid="{0B0BFEF3-CD67-4D53-A639-1555506AF3A9}"/>
    <cellStyle name="Normal 4" xfId="240" xr:uid="{00000000-0005-0000-0000-0000F0000000}"/>
    <cellStyle name="Normal 4 10" xfId="241" xr:uid="{00000000-0005-0000-0000-0000F1000000}"/>
    <cellStyle name="Normal 4 10 2" xfId="406" xr:uid="{E657A7D4-5366-48C0-91BC-2CF0A3C390C2}"/>
    <cellStyle name="Normal 4 11" xfId="242" xr:uid="{00000000-0005-0000-0000-0000F2000000}"/>
    <cellStyle name="Normal 4 2" xfId="243" xr:uid="{00000000-0005-0000-0000-0000F3000000}"/>
    <cellStyle name="Normal 4 2 2" xfId="393" xr:uid="{8D47A742-9FE6-4DCB-B5A9-FF0B3F1646C9}"/>
    <cellStyle name="Normal 4 3" xfId="244" xr:uid="{00000000-0005-0000-0000-0000F4000000}"/>
    <cellStyle name="Normal 4 3 2" xfId="245" xr:uid="{00000000-0005-0000-0000-0000F5000000}"/>
    <cellStyle name="Normal 4 3 3" xfId="246" xr:uid="{00000000-0005-0000-0000-0000F6000000}"/>
    <cellStyle name="Normal 4 4" xfId="247" xr:uid="{00000000-0005-0000-0000-0000F7000000}"/>
    <cellStyle name="Normal 4 4 2" xfId="248" xr:uid="{00000000-0005-0000-0000-0000F8000000}"/>
    <cellStyle name="Normal 4 4 3" xfId="249" xr:uid="{00000000-0005-0000-0000-0000F9000000}"/>
    <cellStyle name="Normal 4 5" xfId="250" xr:uid="{00000000-0005-0000-0000-0000FA000000}"/>
    <cellStyle name="Normal 4 6" xfId="251" xr:uid="{00000000-0005-0000-0000-0000FB000000}"/>
    <cellStyle name="Normal 4 6 2" xfId="252" xr:uid="{00000000-0005-0000-0000-0000FC000000}"/>
    <cellStyle name="Normal 4 7" xfId="253" xr:uid="{00000000-0005-0000-0000-0000FD000000}"/>
    <cellStyle name="Normal 4 7 2" xfId="254" xr:uid="{00000000-0005-0000-0000-0000FE000000}"/>
    <cellStyle name="Normal 4 8" xfId="255" xr:uid="{00000000-0005-0000-0000-0000FF000000}"/>
    <cellStyle name="Normal 4 8 2" xfId="256" xr:uid="{00000000-0005-0000-0000-000000010000}"/>
    <cellStyle name="Normal 4 9" xfId="257" xr:uid="{00000000-0005-0000-0000-000001010000}"/>
    <cellStyle name="Normal 4 9 2" xfId="258" xr:uid="{00000000-0005-0000-0000-000002010000}"/>
    <cellStyle name="Normal 4 9 3" xfId="259" xr:uid="{00000000-0005-0000-0000-000003010000}"/>
    <cellStyle name="Normal 4_PBOP Exhibit 1" xfId="260" xr:uid="{00000000-0005-0000-0000-000004010000}"/>
    <cellStyle name="Normal 40" xfId="401" xr:uid="{51DD2913-8E8A-4AF2-9B4B-1F6BF4378003}"/>
    <cellStyle name="Normal 41" xfId="402" xr:uid="{193279FA-E3B9-45B0-8C9A-231B110D2672}"/>
    <cellStyle name="Normal 42" xfId="403" xr:uid="{4F34D26E-2540-4DAE-A939-2E5F1A83F66B}"/>
    <cellStyle name="Normal 43" xfId="404" xr:uid="{DE9EC659-5109-4D65-9380-892E6B341C75}"/>
    <cellStyle name="Normal 5" xfId="261" xr:uid="{00000000-0005-0000-0000-000005010000}"/>
    <cellStyle name="Normal 5 2" xfId="262" xr:uid="{00000000-0005-0000-0000-000006010000}"/>
    <cellStyle name="Normal 5 2 2" xfId="263" xr:uid="{00000000-0005-0000-0000-000007010000}"/>
    <cellStyle name="Normal 5 3" xfId="264" xr:uid="{00000000-0005-0000-0000-000008010000}"/>
    <cellStyle name="Normal 5 4" xfId="265" xr:uid="{00000000-0005-0000-0000-000009010000}"/>
    <cellStyle name="Normal 6" xfId="266" xr:uid="{00000000-0005-0000-0000-00000A010000}"/>
    <cellStyle name="Normal 6 2" xfId="267" xr:uid="{00000000-0005-0000-0000-00000B010000}"/>
    <cellStyle name="Normal 6 2 2" xfId="268" xr:uid="{00000000-0005-0000-0000-00000C010000}"/>
    <cellStyle name="Normal 6 2 3" xfId="269" xr:uid="{00000000-0005-0000-0000-00000D010000}"/>
    <cellStyle name="Normal 6 3" xfId="270" xr:uid="{00000000-0005-0000-0000-00000E010000}"/>
    <cellStyle name="Normal 6 3 2" xfId="271" xr:uid="{00000000-0005-0000-0000-00000F010000}"/>
    <cellStyle name="Normal 6 4" xfId="272" xr:uid="{00000000-0005-0000-0000-000010010000}"/>
    <cellStyle name="Normal 6 4 2" xfId="273" xr:uid="{00000000-0005-0000-0000-000011010000}"/>
    <cellStyle name="Normal 7" xfId="274" xr:uid="{00000000-0005-0000-0000-000012010000}"/>
    <cellStyle name="Normal 7 2" xfId="275" xr:uid="{00000000-0005-0000-0000-000013010000}"/>
    <cellStyle name="Normal 8" xfId="276" xr:uid="{00000000-0005-0000-0000-000014010000}"/>
    <cellStyle name="Normal 8 2" xfId="277" xr:uid="{00000000-0005-0000-0000-000015010000}"/>
    <cellStyle name="Normal 9" xfId="278" xr:uid="{00000000-0005-0000-0000-000016010000}"/>
    <cellStyle name="Normal 9 2" xfId="279" xr:uid="{00000000-0005-0000-0000-000017010000}"/>
    <cellStyle name="Normal_21 Exh B" xfId="280" xr:uid="{00000000-0005-0000-0000-000018010000}"/>
    <cellStyle name="Normal_ADITAnalysisID090805" xfId="281" xr:uid="{00000000-0005-0000-0000-000019010000}"/>
    <cellStyle name="Normal_ADITAnalysisID090805 2" xfId="282" xr:uid="{00000000-0005-0000-0000-00001A010000}"/>
    <cellStyle name="Normal_ADITAnalysisID090805 2 2" xfId="283" xr:uid="{00000000-0005-0000-0000-00001B010000}"/>
    <cellStyle name="Normal_ADITAnalysisID090805 2 2 2" xfId="284" xr:uid="{00000000-0005-0000-0000-00001C010000}"/>
    <cellStyle name="Normal_ADITAnalysisID090805 3" xfId="285" xr:uid="{00000000-0005-0000-0000-00001D010000}"/>
    <cellStyle name="Normal_ADITAnalysisID090805 4 2" xfId="286" xr:uid="{00000000-0005-0000-0000-00001E010000}"/>
    <cellStyle name="Normal_ATC Projected 2008 Monthly Plant Balances for Attachment O 2 (2)" xfId="287" xr:uid="{00000000-0005-0000-0000-00001F010000}"/>
    <cellStyle name="Normal_AU Period 2 Rev 4-27-00" xfId="288" xr:uid="{00000000-0005-0000-0000-000020010000}"/>
    <cellStyle name="Normal_DeprRateAuth East Dave Davis 2 2" xfId="390" xr:uid="{C725B636-41BD-497C-80E5-0C43C566CBFB}"/>
    <cellStyle name="Normal_FN1 Ratebase Draft SPP template (6-11-04) v2" xfId="289" xr:uid="{00000000-0005-0000-0000-000022010000}"/>
    <cellStyle name="Normal_I&amp;M-AK-1" xfId="290" xr:uid="{00000000-0005-0000-0000-000023010000}"/>
    <cellStyle name="Normal_IM LTD Hedge Entries" xfId="291" xr:uid="{00000000-0005-0000-0000-000024010000}"/>
    <cellStyle name="Normal_Revised 1-21-10  Deprec Summary" xfId="292" xr:uid="{00000000-0005-0000-0000-000025010000}"/>
    <cellStyle name="Normal_Schedule O Info for Mike" xfId="293" xr:uid="{00000000-0005-0000-0000-000026010000}"/>
    <cellStyle name="Normal_spp calc - revsd rev crd" xfId="294" xr:uid="{00000000-0005-0000-0000-000027010000}"/>
    <cellStyle name="Note" xfId="295" builtinId="10" customBuiltin="1"/>
    <cellStyle name="Note 2" xfId="296" xr:uid="{00000000-0005-0000-0000-000029010000}"/>
    <cellStyle name="Output" xfId="297" builtinId="21" customBuiltin="1"/>
    <cellStyle name="Output 2" xfId="298" xr:uid="{00000000-0005-0000-0000-00002B010000}"/>
    <cellStyle name="Percent" xfId="299" builtinId="5"/>
    <cellStyle name="Percent 10" xfId="300" xr:uid="{00000000-0005-0000-0000-00002D010000}"/>
    <cellStyle name="Percent 11" xfId="301" xr:uid="{00000000-0005-0000-0000-00002E010000}"/>
    <cellStyle name="Percent 12" xfId="385" xr:uid="{0F9F4062-2445-4644-B5E5-E7A238BBB1AA}"/>
    <cellStyle name="Percent 13" xfId="387" xr:uid="{78D86742-E8F8-48D9-AECA-C05355340658}"/>
    <cellStyle name="Percent 2" xfId="302" xr:uid="{00000000-0005-0000-0000-00002F010000}"/>
    <cellStyle name="Percent 2 2" xfId="303" xr:uid="{00000000-0005-0000-0000-000030010000}"/>
    <cellStyle name="Percent 2 2 2" xfId="304" xr:uid="{00000000-0005-0000-0000-000031010000}"/>
    <cellStyle name="Percent 3" xfId="305" xr:uid="{00000000-0005-0000-0000-000032010000}"/>
    <cellStyle name="Percent 3 10" xfId="306" xr:uid="{00000000-0005-0000-0000-000033010000}"/>
    <cellStyle name="Percent 3 2" xfId="307" xr:uid="{00000000-0005-0000-0000-000034010000}"/>
    <cellStyle name="Percent 3 3" xfId="308" xr:uid="{00000000-0005-0000-0000-000035010000}"/>
    <cellStyle name="Percent 3 3 2" xfId="309" xr:uid="{00000000-0005-0000-0000-000036010000}"/>
    <cellStyle name="Percent 3 3 3" xfId="310" xr:uid="{00000000-0005-0000-0000-000037010000}"/>
    <cellStyle name="Percent 3 4" xfId="311" xr:uid="{00000000-0005-0000-0000-000038010000}"/>
    <cellStyle name="Percent 3 4 2" xfId="312" xr:uid="{00000000-0005-0000-0000-000039010000}"/>
    <cellStyle name="Percent 3 4 3" xfId="313" xr:uid="{00000000-0005-0000-0000-00003A010000}"/>
    <cellStyle name="Percent 3 5" xfId="314" xr:uid="{00000000-0005-0000-0000-00003B010000}"/>
    <cellStyle name="Percent 3 6" xfId="315" xr:uid="{00000000-0005-0000-0000-00003C010000}"/>
    <cellStyle name="Percent 3 6 2" xfId="316" xr:uid="{00000000-0005-0000-0000-00003D010000}"/>
    <cellStyle name="Percent 3 7" xfId="317" xr:uid="{00000000-0005-0000-0000-00003E010000}"/>
    <cellStyle name="Percent 3 7 2" xfId="318" xr:uid="{00000000-0005-0000-0000-00003F010000}"/>
    <cellStyle name="Percent 3 8" xfId="319" xr:uid="{00000000-0005-0000-0000-000040010000}"/>
    <cellStyle name="Percent 3 8 2" xfId="320" xr:uid="{00000000-0005-0000-0000-000041010000}"/>
    <cellStyle name="Percent 3 8 3" xfId="321" xr:uid="{00000000-0005-0000-0000-000042010000}"/>
    <cellStyle name="Percent 3 9" xfId="322" xr:uid="{00000000-0005-0000-0000-000043010000}"/>
    <cellStyle name="Percent 4" xfId="323" xr:uid="{00000000-0005-0000-0000-000044010000}"/>
    <cellStyle name="Percent 4 2" xfId="324" xr:uid="{00000000-0005-0000-0000-000045010000}"/>
    <cellStyle name="Percent 4 3" xfId="325" xr:uid="{00000000-0005-0000-0000-000046010000}"/>
    <cellStyle name="Percent 5" xfId="326" xr:uid="{00000000-0005-0000-0000-000047010000}"/>
    <cellStyle name="Percent 5 2" xfId="327" xr:uid="{00000000-0005-0000-0000-000048010000}"/>
    <cellStyle name="Percent 6" xfId="328" xr:uid="{00000000-0005-0000-0000-000049010000}"/>
    <cellStyle name="Percent 7" xfId="329" xr:uid="{00000000-0005-0000-0000-00004A010000}"/>
    <cellStyle name="Percent 7 2" xfId="330" xr:uid="{00000000-0005-0000-0000-00004B010000}"/>
    <cellStyle name="Percent 7 3" xfId="331" xr:uid="{00000000-0005-0000-0000-00004C010000}"/>
    <cellStyle name="Percent 8" xfId="332" xr:uid="{00000000-0005-0000-0000-00004D010000}"/>
    <cellStyle name="Percent 8 2" xfId="333" xr:uid="{00000000-0005-0000-0000-00004E010000}"/>
    <cellStyle name="Percent 9" xfId="334" xr:uid="{00000000-0005-0000-0000-00004F010000}"/>
    <cellStyle name="Percent 9 2" xfId="335" xr:uid="{00000000-0005-0000-0000-000050010000}"/>
    <cellStyle name="Percent 9 3" xfId="336" xr:uid="{00000000-0005-0000-0000-000051010000}"/>
    <cellStyle name="PSChar" xfId="337" xr:uid="{00000000-0005-0000-0000-000052010000}"/>
    <cellStyle name="PSDate" xfId="338" xr:uid="{00000000-0005-0000-0000-000053010000}"/>
    <cellStyle name="PSDec" xfId="339" xr:uid="{00000000-0005-0000-0000-000054010000}"/>
    <cellStyle name="PSdesc" xfId="340" xr:uid="{00000000-0005-0000-0000-000055010000}"/>
    <cellStyle name="PSHeading" xfId="341" xr:uid="{00000000-0005-0000-0000-000056010000}"/>
    <cellStyle name="PSInt" xfId="342" xr:uid="{00000000-0005-0000-0000-000057010000}"/>
    <cellStyle name="PSSpacer" xfId="343" xr:uid="{00000000-0005-0000-0000-000058010000}"/>
    <cellStyle name="PStest" xfId="344" xr:uid="{00000000-0005-0000-0000-000059010000}"/>
    <cellStyle name="R00A" xfId="345" xr:uid="{00000000-0005-0000-0000-00005A010000}"/>
    <cellStyle name="R00B" xfId="346" xr:uid="{00000000-0005-0000-0000-00005B010000}"/>
    <cellStyle name="R00L" xfId="347" xr:uid="{00000000-0005-0000-0000-00005C010000}"/>
    <cellStyle name="R01A" xfId="348" xr:uid="{00000000-0005-0000-0000-00005D010000}"/>
    <cellStyle name="R01B" xfId="349" xr:uid="{00000000-0005-0000-0000-00005E010000}"/>
    <cellStyle name="R01H" xfId="350" xr:uid="{00000000-0005-0000-0000-00005F010000}"/>
    <cellStyle name="R01L" xfId="351" xr:uid="{00000000-0005-0000-0000-000060010000}"/>
    <cellStyle name="R02A" xfId="352" xr:uid="{00000000-0005-0000-0000-000061010000}"/>
    <cellStyle name="R02B" xfId="353" xr:uid="{00000000-0005-0000-0000-000062010000}"/>
    <cellStyle name="R02H" xfId="354" xr:uid="{00000000-0005-0000-0000-000063010000}"/>
    <cellStyle name="R02L" xfId="355" xr:uid="{00000000-0005-0000-0000-000064010000}"/>
    <cellStyle name="R03A" xfId="356" xr:uid="{00000000-0005-0000-0000-000065010000}"/>
    <cellStyle name="R03B" xfId="357" xr:uid="{00000000-0005-0000-0000-000066010000}"/>
    <cellStyle name="R03H" xfId="358" xr:uid="{00000000-0005-0000-0000-000067010000}"/>
    <cellStyle name="R03L" xfId="359" xr:uid="{00000000-0005-0000-0000-000068010000}"/>
    <cellStyle name="R04A" xfId="360" xr:uid="{00000000-0005-0000-0000-000069010000}"/>
    <cellStyle name="R04B" xfId="361" xr:uid="{00000000-0005-0000-0000-00006A010000}"/>
    <cellStyle name="R04H" xfId="362" xr:uid="{00000000-0005-0000-0000-00006B010000}"/>
    <cellStyle name="R04L" xfId="363" xr:uid="{00000000-0005-0000-0000-00006C010000}"/>
    <cellStyle name="R05A" xfId="364" xr:uid="{00000000-0005-0000-0000-00006D010000}"/>
    <cellStyle name="R05B" xfId="365" xr:uid="{00000000-0005-0000-0000-00006E010000}"/>
    <cellStyle name="R05H" xfId="366" xr:uid="{00000000-0005-0000-0000-00006F010000}"/>
    <cellStyle name="R05L" xfId="367" xr:uid="{00000000-0005-0000-0000-000070010000}"/>
    <cellStyle name="R06A" xfId="368" xr:uid="{00000000-0005-0000-0000-000071010000}"/>
    <cellStyle name="R06B" xfId="369" xr:uid="{00000000-0005-0000-0000-000072010000}"/>
    <cellStyle name="R06H" xfId="370" xr:uid="{00000000-0005-0000-0000-000073010000}"/>
    <cellStyle name="R06L" xfId="371" xr:uid="{00000000-0005-0000-0000-000074010000}"/>
    <cellStyle name="R07A" xfId="372" xr:uid="{00000000-0005-0000-0000-000075010000}"/>
    <cellStyle name="R07B" xfId="373" xr:uid="{00000000-0005-0000-0000-000076010000}"/>
    <cellStyle name="R07H" xfId="374" xr:uid="{00000000-0005-0000-0000-000077010000}"/>
    <cellStyle name="R07L" xfId="375" xr:uid="{00000000-0005-0000-0000-000078010000}"/>
    <cellStyle name="Title" xfId="376" builtinId="15" customBuiltin="1"/>
    <cellStyle name="Title 2" xfId="377" xr:uid="{00000000-0005-0000-0000-00007A010000}"/>
    <cellStyle name="Total" xfId="378" builtinId="25" customBuiltin="1"/>
    <cellStyle name="Total 2" xfId="379" xr:uid="{00000000-0005-0000-0000-00007C010000}"/>
    <cellStyle name="Warning Text" xfId="380" builtinId="11" customBuiltin="1"/>
    <cellStyle name="Warning Text 2" xfId="381" xr:uid="{00000000-0005-0000-0000-00007E010000}"/>
  </cellStyles>
  <dxfs count="37">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33"/>
  <sheetViews>
    <sheetView tabSelected="1" view="pageBreakPreview" zoomScale="85" zoomScaleNormal="85" zoomScaleSheetLayoutView="85" zoomScalePageLayoutView="50" workbookViewId="0">
      <selection activeCell="D13" sqref="D13"/>
    </sheetView>
  </sheetViews>
  <sheetFormatPr defaultColWidth="11.42578125" defaultRowHeight="15"/>
  <cols>
    <col min="1" max="1" width="4.7109375" style="328" customWidth="1"/>
    <col min="2" max="2" width="7.85546875" style="327" customWidth="1"/>
    <col min="3" max="3" width="1.85546875" style="328" customWidth="1"/>
    <col min="4" max="4" width="70.140625" style="328" customWidth="1"/>
    <col min="5" max="5" width="25.7109375" style="328" customWidth="1"/>
    <col min="6" max="6" width="22.28515625" style="328" customWidth="1"/>
    <col min="7" max="7" width="20.7109375" style="328" customWidth="1"/>
    <col min="8" max="8" width="16.140625" style="328" customWidth="1"/>
    <col min="9" max="9" width="11.28515625" style="328" customWidth="1"/>
    <col min="10" max="10" width="21.5703125" style="328" bestFit="1" customWidth="1"/>
    <col min="11" max="11" width="4.7109375" style="328" customWidth="1"/>
    <col min="12" max="12" width="23" style="328" customWidth="1"/>
    <col min="13" max="13" width="5" style="328" customWidth="1"/>
    <col min="14" max="14" width="31.140625" style="328" customWidth="1"/>
    <col min="15" max="15" width="8.140625" style="328" customWidth="1"/>
    <col min="16" max="16" width="21.85546875" style="328" customWidth="1"/>
    <col min="17" max="17" width="11.42578125" style="328" customWidth="1"/>
    <col min="18" max="18" width="20.5703125" style="328" bestFit="1" customWidth="1"/>
    <col min="19" max="16384" width="11.42578125" style="328"/>
  </cols>
  <sheetData>
    <row r="1" spans="1:15" ht="15.75">
      <c r="A1" s="886" t="s">
        <v>115</v>
      </c>
    </row>
    <row r="2" spans="1:15" ht="15.75">
      <c r="A2" s="886" t="s">
        <v>115</v>
      </c>
    </row>
    <row r="3" spans="1:15" ht="15.75">
      <c r="D3" s="329"/>
      <c r="E3" s="330"/>
      <c r="F3" s="330"/>
      <c r="G3" s="331"/>
      <c r="I3" s="332"/>
      <c r="J3" s="332"/>
      <c r="K3" s="332"/>
      <c r="L3" s="333"/>
    </row>
    <row r="4" spans="1:15">
      <c r="J4" s="328" t="s">
        <v>942</v>
      </c>
      <c r="L4" s="829">
        <v>2025</v>
      </c>
    </row>
    <row r="5" spans="1:15">
      <c r="D5" s="334"/>
      <c r="E5" s="334"/>
      <c r="F5" s="335" t="s">
        <v>386</v>
      </c>
      <c r="G5" s="336"/>
      <c r="H5" s="336"/>
      <c r="J5" s="334"/>
      <c r="K5" s="337"/>
      <c r="L5" s="337"/>
      <c r="M5" s="338"/>
      <c r="O5" s="339"/>
    </row>
    <row r="6" spans="1:15">
      <c r="D6" s="334"/>
      <c r="E6" s="340"/>
      <c r="F6" s="335" t="s">
        <v>387</v>
      </c>
      <c r="G6" s="336"/>
      <c r="H6" s="336"/>
      <c r="J6" s="340"/>
      <c r="K6" s="337"/>
      <c r="L6" s="337"/>
      <c r="M6" s="338"/>
    </row>
    <row r="7" spans="1:15">
      <c r="D7" s="337"/>
      <c r="E7" s="337"/>
      <c r="F7" s="341" t="str">
        <f>"Utilizing  Actual/Projected FERC Form 1 Data"</f>
        <v>Utilizing  Actual/Projected FERC Form 1 Data</v>
      </c>
      <c r="G7" s="336"/>
      <c r="H7" s="336"/>
      <c r="J7" s="337"/>
      <c r="K7" s="337"/>
      <c r="L7" s="337"/>
      <c r="M7" s="338"/>
    </row>
    <row r="8" spans="1:15">
      <c r="B8" s="342"/>
      <c r="C8" s="343"/>
      <c r="D8" s="337"/>
      <c r="H8" s="344"/>
      <c r="I8" s="344"/>
      <c r="J8" s="344"/>
      <c r="K8" s="344"/>
      <c r="L8" s="337"/>
      <c r="M8" s="337"/>
    </row>
    <row r="9" spans="1:15" ht="15.75">
      <c r="B9" s="342"/>
      <c r="C9" s="343"/>
      <c r="D9" s="345"/>
      <c r="E9" s="337"/>
      <c r="F9" s="346" t="s">
        <v>951</v>
      </c>
      <c r="G9" s="347"/>
      <c r="H9" s="337"/>
      <c r="I9" s="337"/>
      <c r="J9" s="337"/>
      <c r="K9" s="337"/>
      <c r="L9" s="345"/>
      <c r="M9" s="337"/>
    </row>
    <row r="10" spans="1:15">
      <c r="B10" s="342"/>
      <c r="C10" s="343"/>
      <c r="D10" s="337"/>
      <c r="E10" s="337"/>
      <c r="F10" s="348"/>
      <c r="G10" s="347"/>
      <c r="H10" s="337"/>
      <c r="I10" s="337"/>
      <c r="J10" s="337"/>
      <c r="K10" s="337"/>
      <c r="L10" s="345"/>
      <c r="M10" s="337"/>
    </row>
    <row r="11" spans="1:15">
      <c r="B11" s="342" t="s">
        <v>170</v>
      </c>
      <c r="C11" s="343"/>
      <c r="D11" s="337"/>
      <c r="E11" s="337"/>
      <c r="F11" s="337"/>
      <c r="G11" s="347"/>
      <c r="H11" s="337"/>
      <c r="I11" s="337"/>
      <c r="J11" s="337"/>
      <c r="K11" s="337"/>
      <c r="L11" s="343" t="s">
        <v>116</v>
      </c>
      <c r="M11" s="337"/>
    </row>
    <row r="12" spans="1:15" ht="15.75" thickBot="1">
      <c r="B12" s="349" t="s">
        <v>118</v>
      </c>
      <c r="C12" s="350"/>
      <c r="D12" s="337"/>
      <c r="E12" s="350"/>
      <c r="F12" s="337"/>
      <c r="G12" s="337"/>
      <c r="H12" s="337"/>
      <c r="I12" s="337"/>
      <c r="J12" s="337"/>
      <c r="K12" s="337"/>
      <c r="L12" s="351" t="s">
        <v>171</v>
      </c>
      <c r="M12" s="337"/>
    </row>
    <row r="13" spans="1:15">
      <c r="B13" s="342">
        <f>1</f>
        <v>1</v>
      </c>
      <c r="C13" s="343"/>
      <c r="D13" s="352" t="s">
        <v>943</v>
      </c>
      <c r="E13" s="353" t="str">
        <f>"(ln "&amp;B213&amp;")"</f>
        <v>(ln 130)</v>
      </c>
      <c r="F13" s="353"/>
      <c r="G13" s="354"/>
      <c r="H13" s="355"/>
      <c r="I13" s="337"/>
      <c r="J13" s="337"/>
      <c r="K13" s="337"/>
      <c r="L13" s="356">
        <f>+L213</f>
        <v>222506652.50003731</v>
      </c>
      <c r="M13" s="337"/>
    </row>
    <row r="14" spans="1:15" ht="15.75" thickBot="1">
      <c r="B14" s="342"/>
      <c r="C14" s="343"/>
      <c r="E14" s="357"/>
      <c r="F14" s="358"/>
      <c r="G14" s="351" t="s">
        <v>119</v>
      </c>
      <c r="H14" s="340"/>
      <c r="I14" s="359" t="s">
        <v>120</v>
      </c>
      <c r="J14" s="359"/>
      <c r="K14" s="337"/>
      <c r="L14" s="354"/>
      <c r="M14" s="337"/>
    </row>
    <row r="15" spans="1:15">
      <c r="B15" s="342">
        <f>+B13+1</f>
        <v>2</v>
      </c>
      <c r="C15" s="343"/>
      <c r="D15" s="360" t="s">
        <v>169</v>
      </c>
      <c r="E15" s="357" t="s">
        <v>944</v>
      </c>
      <c r="F15" s="358"/>
      <c r="G15" s="361">
        <f>+'WS E Rev Credits'!K31</f>
        <v>8288694.3466460332</v>
      </c>
      <c r="H15" s="358"/>
      <c r="I15" s="362" t="s">
        <v>130</v>
      </c>
      <c r="J15" s="363">
        <v>1</v>
      </c>
      <c r="K15" s="340"/>
      <c r="L15" s="364">
        <f>+J15*G15</f>
        <v>8288694.3466460332</v>
      </c>
      <c r="M15" s="337"/>
    </row>
    <row r="16" spans="1:15">
      <c r="B16" s="342"/>
      <c r="C16" s="343"/>
      <c r="D16" s="360"/>
      <c r="F16" s="340"/>
      <c r="L16" s="365"/>
      <c r="M16" s="337"/>
    </row>
    <row r="17" spans="2:13">
      <c r="B17" s="342"/>
      <c r="C17" s="343"/>
      <c r="D17" s="360"/>
      <c r="F17" s="340"/>
      <c r="L17" s="366"/>
      <c r="M17" s="337"/>
    </row>
    <row r="18" spans="2:13">
      <c r="B18" s="342">
        <f>+B15+1</f>
        <v>3</v>
      </c>
      <c r="C18" s="343"/>
      <c r="D18" s="360" t="s">
        <v>536</v>
      </c>
      <c r="E18" s="328" t="s">
        <v>945</v>
      </c>
      <c r="F18" s="340"/>
      <c r="L18" s="364">
        <f>'WS E Rev Credits'!K39</f>
        <v>343910.31425415445</v>
      </c>
      <c r="M18" s="337"/>
    </row>
    <row r="19" spans="2:13">
      <c r="B19" s="342"/>
      <c r="C19" s="343"/>
      <c r="D19" s="360"/>
      <c r="F19" s="340"/>
      <c r="L19" s="366"/>
      <c r="M19" s="337"/>
    </row>
    <row r="20" spans="2:13" ht="15.75" thickBot="1">
      <c r="B20" s="367">
        <f>+B18+1</f>
        <v>4</v>
      </c>
      <c r="C20" s="368"/>
      <c r="D20" s="369" t="s">
        <v>465</v>
      </c>
      <c r="E20" s="370" t="str">
        <f>"(ln "&amp;B13&amp;" less  ln " &amp;B15&amp;" plus ln "&amp;B18&amp;")"</f>
        <v>(ln 1 less  ln 2 plus ln 3)</v>
      </c>
      <c r="F20" s="337"/>
      <c r="H20" s="340"/>
      <c r="I20" s="371"/>
      <c r="J20" s="340"/>
      <c r="K20" s="340"/>
      <c r="L20" s="372">
        <f>+L13-L15+L18</f>
        <v>214561868.46764544</v>
      </c>
      <c r="M20" s="337"/>
    </row>
    <row r="21" spans="2:13" ht="15.75" thickTop="1">
      <c r="B21" s="367"/>
      <c r="C21" s="368"/>
      <c r="D21" s="369"/>
      <c r="E21" s="370"/>
      <c r="F21" s="337"/>
      <c r="H21" s="340"/>
      <c r="I21" s="371"/>
      <c r="J21" s="340"/>
      <c r="K21" s="340"/>
      <c r="L21" s="364"/>
      <c r="M21" s="337"/>
    </row>
    <row r="22" spans="2:13">
      <c r="B22" s="367"/>
      <c r="C22" s="368"/>
      <c r="D22" s="369"/>
      <c r="E22" s="370"/>
      <c r="F22" s="337"/>
      <c r="H22" s="340"/>
      <c r="I22" s="371"/>
      <c r="J22" s="340"/>
      <c r="K22" s="340"/>
      <c r="L22" s="364"/>
      <c r="M22" s="337"/>
    </row>
    <row r="23" spans="2:13">
      <c r="B23" s="367"/>
      <c r="C23" s="368"/>
      <c r="D23" s="360"/>
      <c r="E23" s="370"/>
      <c r="F23" s="337"/>
      <c r="H23" s="340"/>
      <c r="I23" s="371"/>
      <c r="J23" s="340"/>
      <c r="K23" s="340"/>
      <c r="L23" s="373"/>
      <c r="M23" s="337"/>
    </row>
    <row r="24" spans="2:13" ht="15" customHeight="1">
      <c r="B24" s="1528"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28"/>
      <c r="D24" s="1528"/>
      <c r="E24" s="1528"/>
      <c r="F24" s="1528"/>
      <c r="G24" s="1528"/>
      <c r="H24" s="1528"/>
      <c r="I24" s="1528"/>
    </row>
    <row r="25" spans="2:13" ht="35.25" customHeight="1">
      <c r="B25" s="1528"/>
      <c r="C25" s="1528"/>
      <c r="D25" s="1528"/>
      <c r="E25" s="1528"/>
      <c r="F25" s="1528"/>
      <c r="G25" s="1528"/>
      <c r="H25" s="1528"/>
      <c r="I25" s="1528"/>
    </row>
    <row r="26" spans="2:13" ht="15" customHeight="1">
      <c r="B26" s="374"/>
      <c r="C26" s="374"/>
      <c r="D26" s="374"/>
      <c r="E26" s="374"/>
      <c r="F26" s="374"/>
      <c r="G26" s="374"/>
      <c r="H26" s="374"/>
      <c r="I26" s="374"/>
    </row>
    <row r="27" spans="2:13">
      <c r="B27" s="342">
        <f>+B20+1</f>
        <v>5</v>
      </c>
      <c r="C27" s="368"/>
      <c r="D27" s="375" t="s">
        <v>537</v>
      </c>
      <c r="E27" s="357"/>
      <c r="F27" s="358"/>
      <c r="G27" s="376">
        <f>+'WS J PROJECTED RTEP RR'!M26</f>
        <v>7354071.1877318174</v>
      </c>
      <c r="H27" s="358"/>
      <c r="I27" s="362" t="s">
        <v>130</v>
      </c>
      <c r="J27" s="363">
        <v>1</v>
      </c>
      <c r="K27" s="353"/>
      <c r="L27" s="377">
        <f>+J27*G27</f>
        <v>7354071.1877318174</v>
      </c>
      <c r="M27" s="337"/>
    </row>
    <row r="28" spans="2:13">
      <c r="B28" s="342"/>
      <c r="C28" s="368"/>
      <c r="D28" s="375"/>
      <c r="E28" s="370"/>
      <c r="F28" s="358"/>
      <c r="G28" s="376"/>
      <c r="H28" s="358"/>
      <c r="I28" s="358"/>
      <c r="J28" s="363"/>
      <c r="K28" s="353"/>
      <c r="L28" s="377"/>
      <c r="M28" s="337"/>
    </row>
    <row r="29" spans="2:13">
      <c r="B29" s="367">
        <f>+B27+1</f>
        <v>6</v>
      </c>
      <c r="C29" s="368"/>
      <c r="D29" s="375" t="s">
        <v>374</v>
      </c>
      <c r="E29" s="357"/>
      <c r="F29" s="337"/>
      <c r="G29" s="378"/>
      <c r="H29" s="337"/>
      <c r="J29" s="337"/>
      <c r="K29" s="337"/>
      <c r="M29" s="337"/>
    </row>
    <row r="30" spans="2:13">
      <c r="B30" s="342">
        <f>B29+1</f>
        <v>7</v>
      </c>
      <c r="C30" s="368"/>
      <c r="D30" s="379" t="s">
        <v>251</v>
      </c>
      <c r="E30" s="353" t="str">
        <f>"( (ln "&amp;B13&amp;" - ln "&amp;B168&amp;")/((ln "&amp;$B$91&amp;") x 100) )"</f>
        <v>( (ln 1 - ln 95)/((ln 42) x 100) )</v>
      </c>
      <c r="F30" s="343"/>
      <c r="G30" s="343"/>
      <c r="H30" s="343"/>
      <c r="I30" s="380"/>
      <c r="J30" s="380"/>
      <c r="K30" s="380"/>
      <c r="L30" s="381">
        <f>(L13-L168)/L$91</f>
        <v>0.15285789881141651</v>
      </c>
      <c r="M30" s="337"/>
    </row>
    <row r="31" spans="2:13">
      <c r="B31" s="342">
        <f>B30+1</f>
        <v>8</v>
      </c>
      <c r="C31" s="368"/>
      <c r="D31" s="379" t="s">
        <v>252</v>
      </c>
      <c r="E31" s="353" t="str">
        <f>"(ln "&amp;B30&amp;" / 12)"</f>
        <v>(ln 7 / 12)</v>
      </c>
      <c r="F31" s="343"/>
      <c r="G31" s="343"/>
      <c r="H31" s="343"/>
      <c r="I31" s="380"/>
      <c r="J31" s="380"/>
      <c r="K31" s="380"/>
      <c r="L31" s="382">
        <f>L30/12</f>
        <v>1.2738158234284709E-2</v>
      </c>
      <c r="M31" s="337"/>
    </row>
    <row r="32" spans="2:13">
      <c r="B32" s="342"/>
      <c r="C32" s="368"/>
      <c r="D32" s="379"/>
      <c r="E32" s="353"/>
      <c r="F32" s="343"/>
      <c r="G32" s="343"/>
      <c r="H32" s="343"/>
      <c r="I32" s="380"/>
      <c r="J32" s="380"/>
      <c r="K32" s="380"/>
      <c r="L32" s="382"/>
      <c r="M32" s="337"/>
    </row>
    <row r="33" spans="2:14">
      <c r="B33" s="342">
        <f>B31+1</f>
        <v>9</v>
      </c>
      <c r="C33" s="368"/>
      <c r="D33" s="375" t="str">
        <f>"NET PLANT CARRYING CHARGE ON LINE "&amp;B30&amp;" , w/o depreciation or ROE incentives (Note B)"</f>
        <v>NET PLANT CARRYING CHARGE ON LINE 7 , w/o depreciation or ROE incentives (Note B)</v>
      </c>
      <c r="E33" s="353"/>
      <c r="F33" s="343"/>
      <c r="G33" s="343"/>
      <c r="H33" s="343"/>
      <c r="I33" s="380"/>
      <c r="J33" s="380"/>
      <c r="K33" s="380"/>
      <c r="L33" s="382"/>
      <c r="M33" s="337"/>
    </row>
    <row r="34" spans="2:14">
      <c r="B34" s="342">
        <f>B33+1</f>
        <v>10</v>
      </c>
      <c r="C34" s="368"/>
      <c r="D34" s="379" t="s">
        <v>251</v>
      </c>
      <c r="E34" s="353" t="str">
        <f>"( (ln "&amp;B13&amp;" - ln "&amp;B168&amp;" - ln "&amp;B174&amp;" ) /((ln "&amp;$B$91&amp;") x 100) )"</f>
        <v>( (ln 1 - ln 95 - ln 100 ) /((ln 42) x 100) )</v>
      </c>
      <c r="F34" s="343"/>
      <c r="G34" s="343"/>
      <c r="H34" s="343"/>
      <c r="I34" s="380"/>
      <c r="J34" s="380"/>
      <c r="K34" s="380"/>
      <c r="L34" s="381">
        <f>(L13-L168-L174)/L91</f>
        <v>0.11808937687765908</v>
      </c>
      <c r="M34" s="337"/>
    </row>
    <row r="35" spans="2:14">
      <c r="B35" s="342"/>
      <c r="C35" s="368"/>
      <c r="D35" s="379"/>
      <c r="E35" s="353"/>
      <c r="F35" s="343"/>
      <c r="G35" s="343"/>
      <c r="H35" s="343"/>
      <c r="I35" s="380"/>
      <c r="J35" s="380"/>
      <c r="K35" s="380"/>
      <c r="L35" s="382"/>
      <c r="M35" s="337"/>
    </row>
    <row r="36" spans="2:14">
      <c r="B36" s="342">
        <f>B34+1</f>
        <v>11</v>
      </c>
      <c r="C36" s="368"/>
      <c r="D36" s="375" t="str">
        <f>"NET PLANT CARRYING CHARGE ON LINE "&amp;B34&amp;", w/o Return, income taxes or ROE incentives (Note B)"</f>
        <v>NET PLANT CARRYING CHARGE ON LINE 10, w/o Return, income taxes or ROE incentives (Note B)</v>
      </c>
      <c r="E36" s="353"/>
      <c r="F36" s="383"/>
      <c r="G36" s="383"/>
      <c r="H36" s="383"/>
      <c r="I36" s="383"/>
      <c r="J36" s="383"/>
      <c r="K36" s="383"/>
      <c r="L36" s="383"/>
      <c r="M36" s="345"/>
    </row>
    <row r="37" spans="2:14">
      <c r="B37" s="342">
        <f>B36+1</f>
        <v>12</v>
      </c>
      <c r="C37" s="368"/>
      <c r="D37" s="334" t="s">
        <v>251</v>
      </c>
      <c r="E37" s="353" t="str">
        <f>"( (ln "&amp;B13&amp;" - ln "&amp;B168&amp;" - ln "&amp;B174&amp;" - ln "&amp;B203&amp;" - ln "&amp;B205&amp;") /((ln "&amp;$B$91&amp;") x 100) )"</f>
        <v>( (ln 1 - ln 95 - ln 100 - ln 125 - ln 126) /((ln 42) x 100) )</v>
      </c>
      <c r="F37" s="383"/>
      <c r="G37" s="383"/>
      <c r="H37" s="383"/>
      <c r="I37" s="383"/>
      <c r="J37" s="383"/>
      <c r="K37" s="383"/>
      <c r="L37" s="384">
        <f>(L13-L168-L174-L203-L205)/L91</f>
        <v>3.6287204792500062E-2</v>
      </c>
      <c r="M37" s="345"/>
    </row>
    <row r="38" spans="2:14">
      <c r="B38" s="342"/>
      <c r="C38" s="368"/>
      <c r="D38" s="334"/>
      <c r="E38" s="353"/>
      <c r="F38" s="343"/>
      <c r="G38" s="343"/>
      <c r="H38" s="343"/>
      <c r="I38" s="380"/>
      <c r="J38" s="380"/>
      <c r="K38" s="380"/>
      <c r="L38" s="381"/>
      <c r="M38" s="385"/>
    </row>
    <row r="39" spans="2:14">
      <c r="B39" s="342">
        <f>B37+1</f>
        <v>13</v>
      </c>
      <c r="C39" s="343"/>
      <c r="D39" s="386" t="s">
        <v>593</v>
      </c>
      <c r="E39" s="353"/>
      <c r="F39" s="343"/>
      <c r="G39" s="343"/>
      <c r="H39" s="343"/>
      <c r="I39" s="380"/>
      <c r="J39" s="380"/>
      <c r="K39" s="380"/>
      <c r="L39" s="387"/>
      <c r="M39" s="337"/>
    </row>
    <row r="40" spans="2:14">
      <c r="B40" s="342"/>
      <c r="C40" s="343"/>
      <c r="E40" s="353"/>
      <c r="F40" s="343"/>
      <c r="G40" s="343"/>
      <c r="H40" s="343"/>
      <c r="I40" s="380"/>
      <c r="J40" s="380"/>
      <c r="K40" s="380"/>
      <c r="L40" s="381"/>
      <c r="M40" s="337"/>
    </row>
    <row r="41" spans="2:14">
      <c r="B41" s="328"/>
      <c r="C41" s="343"/>
      <c r="E41" s="353"/>
      <c r="F41" s="343"/>
      <c r="G41" s="343"/>
      <c r="H41" s="343"/>
      <c r="I41" s="380"/>
      <c r="J41" s="380"/>
      <c r="K41" s="380"/>
      <c r="L41" s="381"/>
      <c r="M41" s="337"/>
    </row>
    <row r="42" spans="2:14" ht="15.75">
      <c r="B42" s="342">
        <f>+B39+1</f>
        <v>14</v>
      </c>
      <c r="C42" s="343"/>
      <c r="D42" s="1534" t="s">
        <v>433</v>
      </c>
      <c r="E42" s="1534"/>
      <c r="F42" s="1534"/>
      <c r="G42" s="1534"/>
      <c r="H42" s="1534"/>
      <c r="I42" s="1534"/>
      <c r="J42" s="1534"/>
      <c r="K42" s="1534"/>
      <c r="L42" s="1534"/>
      <c r="M42" s="337"/>
    </row>
    <row r="43" spans="2:14">
      <c r="B43" s="342"/>
      <c r="C43" s="343"/>
      <c r="E43" s="353"/>
      <c r="F43" s="343"/>
      <c r="G43" s="343"/>
      <c r="H43" s="343"/>
      <c r="I43" s="380"/>
      <c r="J43" s="380"/>
      <c r="K43" s="380"/>
      <c r="L43" s="381"/>
      <c r="M43" s="337"/>
    </row>
    <row r="44" spans="2:14">
      <c r="B44" s="342">
        <f>+B42+1</f>
        <v>15</v>
      </c>
      <c r="C44" s="343"/>
      <c r="D44" s="352" t="s">
        <v>435</v>
      </c>
      <c r="E44" s="353" t="str">
        <f>"Line "&amp;B146&amp;" Below"</f>
        <v>Line 75 Below</v>
      </c>
      <c r="F44" s="343"/>
      <c r="H44" s="343"/>
      <c r="I44" s="380"/>
      <c r="J44" s="380"/>
      <c r="K44" s="380"/>
      <c r="L44" s="388">
        <f>+G146</f>
        <v>6997949.2621129807</v>
      </c>
      <c r="M44" s="353"/>
      <c r="N44" s="333"/>
    </row>
    <row r="45" spans="2:14">
      <c r="B45" s="342">
        <f>+B44+1</f>
        <v>16</v>
      </c>
      <c r="C45" s="343"/>
      <c r="D45" s="352" t="s">
        <v>473</v>
      </c>
      <c r="E45" s="337"/>
      <c r="F45" s="343"/>
      <c r="H45" s="343"/>
      <c r="I45" s="380"/>
      <c r="J45" s="380"/>
      <c r="K45" s="380"/>
      <c r="L45" s="830">
        <f>'WS F Misc Exp'!D28</f>
        <v>5147096.4382385341</v>
      </c>
      <c r="M45" s="353"/>
      <c r="N45" s="333"/>
    </row>
    <row r="46" spans="2:14">
      <c r="B46" s="342">
        <f>+B45+1</f>
        <v>17</v>
      </c>
      <c r="C46" s="343"/>
      <c r="D46" s="352" t="s">
        <v>474</v>
      </c>
      <c r="E46" s="337"/>
      <c r="F46" s="343"/>
      <c r="H46" s="343"/>
      <c r="I46" s="380"/>
      <c r="J46" s="380"/>
      <c r="K46" s="380"/>
      <c r="L46" s="830">
        <f>'WS F Misc Exp'!D32</f>
        <v>1486803.0135427336</v>
      </c>
      <c r="M46" s="353"/>
      <c r="N46" s="333"/>
    </row>
    <row r="47" spans="2:14">
      <c r="B47" s="342"/>
      <c r="C47" s="343"/>
      <c r="E47" s="337"/>
      <c r="F47" s="343"/>
      <c r="H47" s="343"/>
      <c r="I47" s="380"/>
      <c r="J47" s="380"/>
      <c r="K47" s="380"/>
      <c r="L47" s="343"/>
      <c r="M47" s="353"/>
      <c r="N47" s="333"/>
    </row>
    <row r="48" spans="2:14" ht="15.75" thickBot="1">
      <c r="B48" s="342">
        <f>+B46+1</f>
        <v>18</v>
      </c>
      <c r="C48" s="343"/>
      <c r="D48" s="352" t="s">
        <v>434</v>
      </c>
      <c r="E48" s="355" t="str">
        <f>"(Line "&amp;B44&amp;" - Line "&amp;B45&amp;" - Line "&amp;B46&amp;")"</f>
        <v>(Line 15 - Line 16 - Line 17)</v>
      </c>
      <c r="F48" s="343"/>
      <c r="H48" s="343"/>
      <c r="I48" s="380"/>
      <c r="J48" s="380"/>
      <c r="K48" s="380"/>
      <c r="L48" s="389">
        <f>+L44-L45-L46</f>
        <v>364049.81033171294</v>
      </c>
      <c r="M48" s="353"/>
      <c r="N48" s="333"/>
    </row>
    <row r="49" spans="2:16" ht="15.75" thickTop="1">
      <c r="B49" s="342"/>
      <c r="C49" s="343"/>
      <c r="E49" s="353"/>
      <c r="F49" s="343"/>
      <c r="G49" s="343"/>
      <c r="H49" s="343"/>
      <c r="I49" s="380"/>
      <c r="J49" s="380"/>
      <c r="K49" s="380"/>
      <c r="L49" s="381"/>
      <c r="M49" s="353"/>
      <c r="N49" s="333"/>
    </row>
    <row r="50" spans="2:16">
      <c r="B50" s="342"/>
      <c r="C50" s="343"/>
      <c r="E50" s="353"/>
      <c r="F50" s="343"/>
      <c r="G50" s="343"/>
      <c r="H50" s="343"/>
      <c r="I50" s="380"/>
      <c r="J50" s="380"/>
      <c r="K50" s="380"/>
      <c r="L50" s="381"/>
      <c r="M50" s="353"/>
      <c r="N50" s="333"/>
    </row>
    <row r="51" spans="2:16">
      <c r="B51" s="342"/>
      <c r="C51" s="343"/>
      <c r="E51" s="353"/>
      <c r="F51" s="343"/>
      <c r="G51" s="343"/>
      <c r="H51" s="343"/>
      <c r="I51" s="380"/>
      <c r="J51" s="380"/>
      <c r="K51" s="380"/>
      <c r="L51" s="381"/>
      <c r="M51" s="353"/>
      <c r="N51" s="333"/>
    </row>
    <row r="52" spans="2:16">
      <c r="D52" s="334"/>
      <c r="E52" s="334"/>
      <c r="G52" s="355"/>
      <c r="H52" s="334"/>
      <c r="I52" s="334"/>
      <c r="J52" s="334"/>
      <c r="K52" s="334"/>
      <c r="L52" s="334"/>
      <c r="M52" s="390"/>
      <c r="N52" s="333"/>
    </row>
    <row r="53" spans="2:16">
      <c r="D53" s="334"/>
      <c r="E53" s="334"/>
      <c r="F53" s="343"/>
      <c r="G53" s="355"/>
      <c r="H53" s="334"/>
      <c r="I53" s="334"/>
      <c r="J53" s="334"/>
      <c r="K53" s="334"/>
      <c r="L53" s="334"/>
      <c r="M53" s="390"/>
      <c r="N53" s="333"/>
      <c r="P53" s="391"/>
    </row>
    <row r="54" spans="2:16">
      <c r="D54" s="334"/>
      <c r="E54" s="334"/>
      <c r="F54" s="343" t="str">
        <f>F5</f>
        <v xml:space="preserve">AEP East Companies </v>
      </c>
      <c r="G54" s="355"/>
      <c r="H54" s="334"/>
      <c r="I54" s="334"/>
      <c r="J54" s="334"/>
      <c r="K54" s="334"/>
      <c r="L54" s="334"/>
      <c r="M54" s="390"/>
      <c r="N54" s="333"/>
      <c r="P54" s="391"/>
    </row>
    <row r="55" spans="2:16">
      <c r="D55" s="334"/>
      <c r="E55" s="340"/>
      <c r="F55" s="343" t="str">
        <f>F6</f>
        <v>Transmission Cost of Service Formula Rate</v>
      </c>
      <c r="G55" s="340"/>
      <c r="H55" s="340"/>
      <c r="I55" s="340"/>
      <c r="J55" s="340"/>
      <c r="K55" s="340"/>
      <c r="L55" s="340"/>
      <c r="M55" s="392"/>
      <c r="N55" s="333"/>
      <c r="P55" s="387"/>
    </row>
    <row r="56" spans="2:16">
      <c r="D56" s="334"/>
      <c r="E56" s="340"/>
      <c r="F56" s="371" t="str">
        <f>F7</f>
        <v>Utilizing  Actual/Projected FERC Form 1 Data</v>
      </c>
      <c r="G56" s="340"/>
      <c r="H56" s="340"/>
      <c r="I56" s="340"/>
      <c r="J56" s="340"/>
      <c r="K56" s="340"/>
      <c r="L56" s="340"/>
      <c r="M56" s="393"/>
      <c r="N56" s="333"/>
      <c r="P56" s="387"/>
    </row>
    <row r="57" spans="2:16">
      <c r="D57" s="334"/>
      <c r="E57" s="340"/>
      <c r="F57" s="343"/>
      <c r="G57" s="340"/>
      <c r="H57" s="340"/>
      <c r="I57" s="340"/>
      <c r="J57" s="340"/>
      <c r="K57" s="340"/>
      <c r="L57" s="340"/>
      <c r="M57" s="358"/>
      <c r="N57" s="333"/>
      <c r="P57" s="387"/>
    </row>
    <row r="58" spans="2:16">
      <c r="D58" s="334"/>
      <c r="E58" s="340"/>
      <c r="F58" s="343" t="str">
        <f>F9</f>
        <v xml:space="preserve">Indiana Michigan Power Company </v>
      </c>
      <c r="G58" s="340"/>
      <c r="H58" s="340"/>
      <c r="I58" s="340"/>
      <c r="J58" s="340"/>
      <c r="K58" s="340"/>
      <c r="L58" s="340"/>
      <c r="M58" s="358"/>
      <c r="N58" s="333"/>
      <c r="P58" s="387"/>
    </row>
    <row r="59" spans="2:16">
      <c r="D59" s="334"/>
      <c r="E59" s="371"/>
      <c r="F59" s="371"/>
      <c r="G59" s="371"/>
      <c r="H59" s="371"/>
      <c r="I59" s="371"/>
      <c r="J59" s="371"/>
      <c r="K59" s="371"/>
      <c r="L59" s="340"/>
      <c r="M59" s="358"/>
      <c r="N59" s="333"/>
      <c r="P59" s="387"/>
    </row>
    <row r="60" spans="2:16">
      <c r="D60" s="343" t="s">
        <v>122</v>
      </c>
      <c r="E60" s="343" t="s">
        <v>123</v>
      </c>
      <c r="F60" s="343"/>
      <c r="G60" s="343" t="s">
        <v>124</v>
      </c>
      <c r="H60" s="340" t="s">
        <v>115</v>
      </c>
      <c r="I60" s="1529" t="s">
        <v>125</v>
      </c>
      <c r="J60" s="1530"/>
      <c r="K60" s="340"/>
      <c r="L60" s="344" t="s">
        <v>126</v>
      </c>
      <c r="M60" s="358"/>
      <c r="N60" s="333"/>
    </row>
    <row r="61" spans="2:16">
      <c r="B61" s="328"/>
      <c r="D61" s="383"/>
      <c r="E61" s="383"/>
      <c r="F61" s="383"/>
      <c r="G61" s="388"/>
      <c r="H61" s="340"/>
      <c r="I61" s="340"/>
      <c r="J61" s="395"/>
      <c r="K61" s="340"/>
      <c r="M61" s="358"/>
      <c r="N61" s="333"/>
    </row>
    <row r="62" spans="2:16" ht="15.75">
      <c r="B62" s="396"/>
      <c r="C62" s="343"/>
      <c r="D62" s="383"/>
      <c r="E62" s="397" t="s">
        <v>96</v>
      </c>
      <c r="F62" s="398"/>
      <c r="G62" s="340"/>
      <c r="H62" s="340"/>
      <c r="I62" s="340"/>
      <c r="J62" s="343"/>
      <c r="K62" s="340"/>
      <c r="L62" s="399" t="s">
        <v>119</v>
      </c>
      <c r="M62" s="358"/>
      <c r="N62" s="333"/>
      <c r="P62" s="391"/>
    </row>
    <row r="63" spans="2:16" ht="15.75">
      <c r="B63" s="328"/>
      <c r="C63" s="350"/>
      <c r="D63" s="400" t="s">
        <v>95</v>
      </c>
      <c r="E63" s="401" t="s">
        <v>113</v>
      </c>
      <c r="F63" s="340"/>
      <c r="G63" s="400" t="s">
        <v>82</v>
      </c>
      <c r="H63" s="402"/>
      <c r="I63" s="1531" t="s">
        <v>120</v>
      </c>
      <c r="J63" s="1532"/>
      <c r="K63" s="402"/>
      <c r="L63" s="400" t="s">
        <v>116</v>
      </c>
      <c r="M63" s="358"/>
      <c r="N63" s="333"/>
    </row>
    <row r="64" spans="2:16">
      <c r="B64" s="1099" t="str">
        <f>B11</f>
        <v>Line</v>
      </c>
      <c r="C64" s="368"/>
      <c r="D64" s="379"/>
      <c r="E64" s="358"/>
      <c r="F64" s="358"/>
      <c r="G64" s="1100" t="s">
        <v>355</v>
      </c>
      <c r="H64" s="358"/>
      <c r="I64" s="358"/>
      <c r="J64" s="358"/>
      <c r="K64" s="358"/>
      <c r="L64" s="358"/>
      <c r="M64" s="358"/>
      <c r="N64" s="333"/>
    </row>
    <row r="65" spans="2:15" ht="15.75" thickBot="1">
      <c r="B65" s="1101" t="str">
        <f>B12</f>
        <v>No.</v>
      </c>
      <c r="C65" s="368"/>
      <c r="D65" s="379" t="s">
        <v>83</v>
      </c>
      <c r="E65" s="403"/>
      <c r="F65" s="403"/>
      <c r="G65" s="358"/>
      <c r="H65" s="358"/>
      <c r="I65" s="362"/>
      <c r="J65" s="358"/>
      <c r="K65" s="358"/>
      <c r="L65" s="358"/>
      <c r="M65" s="358"/>
      <c r="N65" s="333"/>
    </row>
    <row r="66" spans="2:15">
      <c r="B66" s="367">
        <f>+B48+1</f>
        <v>19</v>
      </c>
      <c r="C66" s="368"/>
      <c r="D66" s="411" t="s">
        <v>127</v>
      </c>
      <c r="E66" s="358" t="str">
        <f>"(Worksheet A ln "&amp;'WS A - RB Support'!A23&amp;"."&amp;'WS A - RB Support'!C8&amp;")"</f>
        <v>(Worksheet A ln 14.(b))</v>
      </c>
      <c r="F66" s="358"/>
      <c r="G66" s="376">
        <f>'WS A - RB Support'!C23</f>
        <v>5650237542.9364128</v>
      </c>
      <c r="H66" s="376"/>
      <c r="I66" s="362" t="s">
        <v>128</v>
      </c>
      <c r="J66" s="363">
        <v>0</v>
      </c>
      <c r="K66" s="358"/>
      <c r="L66" s="405">
        <f>+J66*G66</f>
        <v>0</v>
      </c>
      <c r="M66" s="358"/>
      <c r="N66" s="333"/>
    </row>
    <row r="67" spans="2:15">
      <c r="B67" s="367">
        <f>+B66+1</f>
        <v>20</v>
      </c>
      <c r="C67" s="368"/>
      <c r="D67" s="411" t="s">
        <v>378</v>
      </c>
      <c r="E67" s="358" t="str">
        <f>"(Worksheet A ln "&amp;'WS A - RB Support'!A23&amp;"."&amp;'WS A - RB Support'!D8&amp;")"</f>
        <v>(Worksheet A ln 14.(c))</v>
      </c>
      <c r="F67" s="358"/>
      <c r="G67" s="405">
        <f>-'WS A - RB Support'!D23</f>
        <v>-522567088.79999995</v>
      </c>
      <c r="H67" s="376"/>
      <c r="I67" s="362" t="s">
        <v>128</v>
      </c>
      <c r="J67" s="363">
        <v>0</v>
      </c>
      <c r="K67" s="358"/>
      <c r="L67" s="405">
        <f>+J67*G67</f>
        <v>0</v>
      </c>
      <c r="M67" s="358"/>
      <c r="N67" s="333"/>
    </row>
    <row r="68" spans="2:15">
      <c r="B68" s="367">
        <f t="shared" ref="B68:B74" si="0">+B67+1</f>
        <v>21</v>
      </c>
      <c r="C68" s="420"/>
      <c r="D68" s="1102" t="s">
        <v>129</v>
      </c>
      <c r="E68" s="358" t="str">
        <f>"(Worksheet A ln "&amp;'WS A - RB Support'!A23&amp;"."&amp;'WS A - RB Support'!E8&amp;" &amp; TCOS Ln "&amp;B229&amp;")"</f>
        <v>(Worksheet A ln 14.(d) &amp; TCOS Ln 134)</v>
      </c>
      <c r="F68" s="407"/>
      <c r="G68" s="376">
        <f>'WS A - RB Support'!E23</f>
        <v>1994304507.8047283</v>
      </c>
      <c r="H68" s="376"/>
      <c r="I68" s="408" t="s">
        <v>130</v>
      </c>
      <c r="J68" s="363" t="s">
        <v>115</v>
      </c>
      <c r="K68" s="409"/>
      <c r="L68" s="405">
        <f>+L229</f>
        <v>1933881822.3947282</v>
      </c>
      <c r="M68" s="409"/>
      <c r="N68" s="333"/>
    </row>
    <row r="69" spans="2:15">
      <c r="B69" s="367">
        <f t="shared" si="0"/>
        <v>22</v>
      </c>
      <c r="C69" s="420"/>
      <c r="D69" s="411" t="s">
        <v>379</v>
      </c>
      <c r="E69" s="358" t="str">
        <f>"(Worksheet A ln "&amp;'WS A - RB Support'!A23&amp;"."&amp;'WS A - RB Support'!F8&amp;")"</f>
        <v>(Worksheet A ln 14.(e))</v>
      </c>
      <c r="F69" s="407"/>
      <c r="G69" s="376">
        <f>-'WS A - RB Support'!F23</f>
        <v>0</v>
      </c>
      <c r="H69" s="376"/>
      <c r="I69" s="408" t="s">
        <v>121</v>
      </c>
      <c r="J69" s="363">
        <f>L231</f>
        <v>0.96970237735835452</v>
      </c>
      <c r="K69" s="409"/>
      <c r="L69" s="405">
        <f>+G69*J69</f>
        <v>0</v>
      </c>
      <c r="M69" s="409"/>
      <c r="N69" s="333"/>
    </row>
    <row r="70" spans="2:15">
      <c r="B70" s="367">
        <f>+B69+1</f>
        <v>23</v>
      </c>
      <c r="C70" s="420"/>
      <c r="D70" s="379" t="s">
        <v>131</v>
      </c>
      <c r="E70" s="358" t="str">
        <f>"(Worksheet A ln "&amp;'WS A - RB Support'!A23&amp;"."&amp;'WS A - RB Support'!G8&amp;")"</f>
        <v>(Worksheet A ln 14.(f))</v>
      </c>
      <c r="F70" s="358"/>
      <c r="G70" s="376">
        <f>'WS A - RB Support'!G23</f>
        <v>3728445131.9935708</v>
      </c>
      <c r="H70" s="376"/>
      <c r="I70" s="362" t="s">
        <v>128</v>
      </c>
      <c r="J70" s="363">
        <v>0</v>
      </c>
      <c r="K70" s="358"/>
      <c r="L70" s="405">
        <f>+J70*G70</f>
        <v>0</v>
      </c>
      <c r="M70" s="358"/>
      <c r="N70" s="333"/>
    </row>
    <row r="71" spans="2:15">
      <c r="B71" s="367">
        <f t="shared" si="0"/>
        <v>24</v>
      </c>
      <c r="C71" s="420"/>
      <c r="D71" s="411" t="s">
        <v>376</v>
      </c>
      <c r="E71" s="358" t="str">
        <f>"(Worksheet A ln "&amp;'WS A - RB Support'!A23&amp;"."&amp;'WS A - RB Support'!H8&amp;")"</f>
        <v>(Worksheet A ln 14.(g))</v>
      </c>
      <c r="F71" s="358"/>
      <c r="G71" s="405">
        <f>-'WS A - RB Support'!H23</f>
        <v>0</v>
      </c>
      <c r="H71" s="376"/>
      <c r="I71" s="362" t="s">
        <v>128</v>
      </c>
      <c r="J71" s="363">
        <v>0</v>
      </c>
      <c r="K71" s="358"/>
      <c r="L71" s="405">
        <f>+G71*J71</f>
        <v>0</v>
      </c>
      <c r="M71" s="358"/>
      <c r="N71" s="333"/>
    </row>
    <row r="72" spans="2:15">
      <c r="B72" s="367">
        <f t="shared" si="0"/>
        <v>25</v>
      </c>
      <c r="C72" s="420"/>
      <c r="D72" s="379" t="s">
        <v>132</v>
      </c>
      <c r="E72" s="358" t="str">
        <f>"(Worksheet A ln "&amp;'WS A - RB Support'!A23&amp;"."&amp;'WS A - RB Support'!I8&amp;")"</f>
        <v>(Worksheet A ln 14.(h))</v>
      </c>
      <c r="F72" s="358"/>
      <c r="G72" s="376">
        <f>'WS A - RB Support'!I23</f>
        <v>310799818.51315445</v>
      </c>
      <c r="H72" s="376"/>
      <c r="I72" s="362" t="s">
        <v>133</v>
      </c>
      <c r="J72" s="363">
        <f>L241</f>
        <v>4.9506986027220215E-2</v>
      </c>
      <c r="K72" s="358"/>
      <c r="L72" s="405">
        <f>+J72*G72</f>
        <v>15386762.272393316</v>
      </c>
      <c r="M72" s="358"/>
      <c r="N72" s="333"/>
    </row>
    <row r="73" spans="2:15">
      <c r="B73" s="367">
        <f t="shared" si="0"/>
        <v>26</v>
      </c>
      <c r="C73" s="420"/>
      <c r="D73" s="411" t="s">
        <v>377</v>
      </c>
      <c r="E73" s="358" t="str">
        <f>"(Worksheet A ln "&amp;'WS A - RB Support'!A23&amp;"."&amp;'WS A - RB Support'!J8&amp;")"</f>
        <v>(Worksheet A ln 14.(i))</v>
      </c>
      <c r="F73" s="358"/>
      <c r="G73" s="405">
        <f>-'WS A - RB Support'!J23</f>
        <v>-1305329.6972030087</v>
      </c>
      <c r="H73" s="376"/>
      <c r="I73" s="362" t="s">
        <v>133</v>
      </c>
      <c r="J73" s="363">
        <f>L241</f>
        <v>4.9506986027220215E-2</v>
      </c>
      <c r="K73" s="358"/>
      <c r="L73" s="405">
        <f>+G73*J73</f>
        <v>-64622.939080344942</v>
      </c>
      <c r="M73" s="358"/>
      <c r="N73" s="333"/>
    </row>
    <row r="74" spans="2:15" ht="15.75" thickBot="1">
      <c r="B74" s="367">
        <f t="shared" si="0"/>
        <v>27</v>
      </c>
      <c r="C74" s="420"/>
      <c r="D74" s="379" t="s">
        <v>134</v>
      </c>
      <c r="E74" s="358" t="str">
        <f>"(Worksheet A ln "&amp;'WS A - RB Support'!A23&amp;"."&amp;'WS A - RB Support'!K8&amp;")"</f>
        <v>(Worksheet A ln 14.(j))</v>
      </c>
      <c r="F74" s="358"/>
      <c r="G74" s="412">
        <f>'WS A - RB Support'!K23</f>
        <v>370492889.37664634</v>
      </c>
      <c r="H74" s="376"/>
      <c r="I74" s="362" t="s">
        <v>133</v>
      </c>
      <c r="J74" s="363">
        <f>L241</f>
        <v>4.9506986027220215E-2</v>
      </c>
      <c r="K74" s="358"/>
      <c r="L74" s="506">
        <f>+J74*G74</f>
        <v>18341986.297554076</v>
      </c>
      <c r="M74" s="358"/>
      <c r="N74" s="379"/>
      <c r="O74" s="334"/>
    </row>
    <row r="75" spans="2:15" ht="15.75">
      <c r="B75" s="367">
        <f>+B74+1</f>
        <v>28</v>
      </c>
      <c r="C75" s="420"/>
      <c r="D75" s="379" t="s">
        <v>48</v>
      </c>
      <c r="E75" s="368" t="str">
        <f>"(sum lns "&amp;B66&amp;" to "&amp;B74&amp;")"</f>
        <v>(sum lns 19 to 27)</v>
      </c>
      <c r="F75" s="708"/>
      <c r="G75" s="376">
        <f>SUM(G66:G74)</f>
        <v>11530407472.12731</v>
      </c>
      <c r="H75" s="376"/>
      <c r="I75" s="507" t="s">
        <v>747</v>
      </c>
      <c r="J75" s="414">
        <f>+L75/G75</f>
        <v>0.17063975863661229</v>
      </c>
      <c r="K75" s="358"/>
      <c r="L75" s="376">
        <f>SUM(L66:L74)</f>
        <v>1967545948.0255952</v>
      </c>
      <c r="M75" s="358"/>
      <c r="N75" s="379"/>
      <c r="O75" s="334"/>
    </row>
    <row r="76" spans="2:15" ht="15.75">
      <c r="B76" s="367"/>
      <c r="C76" s="368"/>
      <c r="D76" s="379"/>
      <c r="E76" s="1104"/>
      <c r="F76" s="708"/>
      <c r="G76" s="376"/>
      <c r="H76" s="376"/>
      <c r="I76" s="1097" t="s">
        <v>217</v>
      </c>
      <c r="J76" s="415">
        <f>+L68/(G70+G68+G71)</f>
        <v>0.33792878321038849</v>
      </c>
      <c r="K76" s="358"/>
      <c r="L76" s="376"/>
      <c r="M76" s="358"/>
      <c r="N76" s="416"/>
      <c r="O76" s="334"/>
    </row>
    <row r="77" spans="2:15">
      <c r="B77" s="367">
        <f>+B75+1</f>
        <v>29</v>
      </c>
      <c r="C77" s="368"/>
      <c r="D77" s="379" t="s">
        <v>24</v>
      </c>
      <c r="E77" s="403"/>
      <c r="F77" s="403"/>
      <c r="G77" s="376"/>
      <c r="H77" s="417"/>
      <c r="I77" s="362"/>
      <c r="J77" s="418"/>
      <c r="K77" s="358"/>
      <c r="L77" s="376"/>
      <c r="M77" s="358"/>
      <c r="N77" s="358"/>
      <c r="O77" s="340"/>
    </row>
    <row r="78" spans="2:15">
      <c r="B78" s="367">
        <f>+B77+1</f>
        <v>30</v>
      </c>
      <c r="C78" s="368"/>
      <c r="D78" s="411" t="str">
        <f>+D66</f>
        <v xml:space="preserve">  Production</v>
      </c>
      <c r="E78" s="358" t="str">
        <f>"(Worksheet A ln "&amp;'WS A - RB Support'!A42&amp;"."&amp;'WS A - RB Support'!C27&amp;")"</f>
        <v>(Worksheet A ln 28.(b))</v>
      </c>
      <c r="F78" s="358"/>
      <c r="G78" s="376">
        <f>'WS A - RB Support'!C42</f>
        <v>3269815734.2783823</v>
      </c>
      <c r="H78" s="376"/>
      <c r="I78" s="362" t="s">
        <v>128</v>
      </c>
      <c r="J78" s="363">
        <v>0</v>
      </c>
      <c r="K78" s="358"/>
      <c r="L78" s="405">
        <f>+J78*G78</f>
        <v>0</v>
      </c>
      <c r="M78" s="358"/>
      <c r="N78" s="358"/>
      <c r="O78" s="340"/>
    </row>
    <row r="79" spans="2:15">
      <c r="B79" s="367">
        <f t="shared" ref="B79:B87" si="1">+B78+1</f>
        <v>31</v>
      </c>
      <c r="C79" s="368"/>
      <c r="D79" s="411" t="s">
        <v>378</v>
      </c>
      <c r="E79" s="358" t="str">
        <f>"(Worksheet A ln "&amp;'WS A - RB Support'!A42&amp;"."&amp;'WS A - RB Support'!D27&amp;")"</f>
        <v>(Worksheet A ln 28.(c))</v>
      </c>
      <c r="F79" s="358"/>
      <c r="G79" s="405">
        <f>-'WS A - RB Support'!D42</f>
        <v>-264491751.91999897</v>
      </c>
      <c r="H79" s="376"/>
      <c r="I79" s="362" t="s">
        <v>128</v>
      </c>
      <c r="J79" s="363">
        <v>0</v>
      </c>
      <c r="K79" s="358"/>
      <c r="L79" s="405">
        <f>+J79*G79</f>
        <v>0</v>
      </c>
      <c r="M79" s="358"/>
      <c r="N79" s="358"/>
      <c r="O79" s="340"/>
    </row>
    <row r="80" spans="2:15" ht="15.75">
      <c r="B80" s="367">
        <f t="shared" si="1"/>
        <v>32</v>
      </c>
      <c r="C80" s="420"/>
      <c r="D80" s="1102" t="str">
        <f>D68</f>
        <v xml:space="preserve">  Transmission</v>
      </c>
      <c r="E80" s="358" t="str">
        <f>"(Worksheet A ln "&amp;'WS A - RB Support'!A42&amp;"."&amp;'WS A - RB Support'!E27&amp;" &amp; "&amp;"ln "&amp;'WS A - RB Support'!A64&amp;"."&amp;'WS A - RB Support'!D47&amp;")"</f>
        <v>(Worksheet A ln 28.(d) &amp; ln 43.(c))</v>
      </c>
      <c r="F80" s="407"/>
      <c r="G80" s="410">
        <f>'WS A - RB Support'!E42</f>
        <v>495307860.90460277</v>
      </c>
      <c r="H80" s="376"/>
      <c r="I80" s="1098" t="s">
        <v>27</v>
      </c>
      <c r="J80" s="419">
        <f>L80/G80</f>
        <v>0.96553691422743704</v>
      </c>
      <c r="K80" s="409"/>
      <c r="L80" s="405">
        <f>'WS A - RB Support'!D64</f>
        <v>478238023.61042273</v>
      </c>
      <c r="M80" s="409"/>
      <c r="N80" s="358"/>
      <c r="O80" s="340"/>
    </row>
    <row r="81" spans="2:15" ht="15.75">
      <c r="B81" s="367">
        <f t="shared" si="1"/>
        <v>33</v>
      </c>
      <c r="C81" s="420"/>
      <c r="D81" s="411" t="s">
        <v>379</v>
      </c>
      <c r="E81" s="358" t="str">
        <f>"(Worksheet A ln "&amp;'WS A - RB Support'!A42&amp;"."&amp;'WS A - RB Support'!F27&amp;")"</f>
        <v>(Worksheet A ln 28.(e))</v>
      </c>
      <c r="F81" s="407"/>
      <c r="G81" s="405">
        <f>-'WS A - RB Support'!F42</f>
        <v>0</v>
      </c>
      <c r="H81" s="376"/>
      <c r="I81" s="1098" t="s">
        <v>27</v>
      </c>
      <c r="J81" s="363">
        <f>+J80</f>
        <v>0.96553691422743704</v>
      </c>
      <c r="K81" s="409"/>
      <c r="L81" s="405">
        <f t="shared" ref="L81:L86" si="2">+J81*G81</f>
        <v>0</v>
      </c>
      <c r="M81" s="409"/>
      <c r="N81" s="358"/>
      <c r="O81" s="340"/>
    </row>
    <row r="82" spans="2:15">
      <c r="B82" s="367">
        <f>+B81+1</f>
        <v>34</v>
      </c>
      <c r="C82" s="420"/>
      <c r="D82" s="379" t="str">
        <f>+D70</f>
        <v xml:space="preserve">  Distribution</v>
      </c>
      <c r="E82" s="358" t="str">
        <f>"(Worksheet A ln "&amp;'WS A - RB Support'!A42&amp;"."&amp;'WS A - RB Support'!G27&amp;")"</f>
        <v>(Worksheet A ln 28.(f))</v>
      </c>
      <c r="F82" s="358"/>
      <c r="G82" s="376">
        <f>'WS A - RB Support'!G42</f>
        <v>811453350.96814811</v>
      </c>
      <c r="H82" s="376"/>
      <c r="I82" s="362" t="s">
        <v>128</v>
      </c>
      <c r="J82" s="363">
        <v>0</v>
      </c>
      <c r="K82" s="358"/>
      <c r="L82" s="405">
        <f t="shared" si="2"/>
        <v>0</v>
      </c>
      <c r="M82" s="358"/>
      <c r="N82" s="358"/>
      <c r="O82" s="340"/>
    </row>
    <row r="83" spans="2:15">
      <c r="B83" s="367">
        <f t="shared" si="1"/>
        <v>35</v>
      </c>
      <c r="C83" s="420"/>
      <c r="D83" s="411" t="s">
        <v>376</v>
      </c>
      <c r="E83" s="358" t="str">
        <f>"(Worksheet A ln "&amp;'WS A - RB Support'!A42&amp;"."&amp;'WS A - RB Support'!H27&amp;")"</f>
        <v>(Worksheet A ln 28.(g))</v>
      </c>
      <c r="F83" s="358"/>
      <c r="G83" s="405">
        <f>-'WS A - RB Support'!H42</f>
        <v>0</v>
      </c>
      <c r="H83" s="376"/>
      <c r="I83" s="362" t="s">
        <v>128</v>
      </c>
      <c r="J83" s="363">
        <v>0</v>
      </c>
      <c r="K83" s="358"/>
      <c r="L83" s="405">
        <f t="shared" si="2"/>
        <v>0</v>
      </c>
      <c r="M83" s="358"/>
      <c r="N83" s="358"/>
      <c r="O83" s="340"/>
    </row>
    <row r="84" spans="2:15">
      <c r="B84" s="367">
        <f t="shared" si="1"/>
        <v>36</v>
      </c>
      <c r="C84" s="420"/>
      <c r="D84" s="379" t="str">
        <f>+D72</f>
        <v xml:space="preserve">  General Plant   </v>
      </c>
      <c r="E84" s="358" t="str">
        <f>"(Worksheet A ln "&amp;'WS A - RB Support'!A42&amp;"."&amp;'WS A - RB Support'!I27&amp;")"</f>
        <v>(Worksheet A ln 28.(h))</v>
      </c>
      <c r="F84" s="358"/>
      <c r="G84" s="361">
        <f>'WS A - RB Support'!I42</f>
        <v>53027539.316871002</v>
      </c>
      <c r="H84" s="376"/>
      <c r="I84" s="362" t="s">
        <v>133</v>
      </c>
      <c r="J84" s="363">
        <f>L241</f>
        <v>4.9506986027220215E-2</v>
      </c>
      <c r="K84" s="358"/>
      <c r="L84" s="405">
        <f t="shared" si="2"/>
        <v>2625233.6480182032</v>
      </c>
      <c r="M84" s="358"/>
      <c r="N84" s="358"/>
      <c r="O84" s="340"/>
    </row>
    <row r="85" spans="2:15">
      <c r="B85" s="367">
        <f t="shared" si="1"/>
        <v>37</v>
      </c>
      <c r="C85" s="420"/>
      <c r="D85" s="411" t="s">
        <v>377</v>
      </c>
      <c r="E85" s="358" t="str">
        <f>"(Worksheet A ln "&amp;'WS A - RB Support'!A42&amp;"."&amp;'WS A - RB Support'!J27&amp;")"</f>
        <v>(Worksheet A ln 28.(i))</v>
      </c>
      <c r="F85" s="358"/>
      <c r="G85" s="405">
        <f>-'WS A - RB Support'!J42</f>
        <v>-365954.71123953577</v>
      </c>
      <c r="H85" s="376"/>
      <c r="I85" s="362" t="s">
        <v>133</v>
      </c>
      <c r="J85" s="363">
        <f>L241</f>
        <v>4.9506986027220215E-2</v>
      </c>
      <c r="K85" s="358"/>
      <c r="L85" s="405">
        <f t="shared" si="2"/>
        <v>-18117.314775931107</v>
      </c>
      <c r="M85" s="358"/>
      <c r="N85" s="358"/>
      <c r="O85" s="340"/>
    </row>
    <row r="86" spans="2:15" ht="15.75" thickBot="1">
      <c r="B86" s="367">
        <f t="shared" si="1"/>
        <v>38</v>
      </c>
      <c r="C86" s="420"/>
      <c r="D86" s="379" t="str">
        <f>+D74</f>
        <v xml:space="preserve">  Intangible Plant</v>
      </c>
      <c r="E86" s="358" t="str">
        <f>"(Worksheet A ln "&amp;'WS A - RB Support'!A42&amp;"."&amp;'WS A - RB Support'!K27&amp;")"</f>
        <v>(Worksheet A ln 28.(j))</v>
      </c>
      <c r="F86" s="358"/>
      <c r="G86" s="412">
        <f>'WS A - RB Support'!K42</f>
        <v>160435418.99671161</v>
      </c>
      <c r="H86" s="376"/>
      <c r="I86" s="362" t="s">
        <v>133</v>
      </c>
      <c r="J86" s="363">
        <f>L241</f>
        <v>4.9506986027220215E-2</v>
      </c>
      <c r="K86" s="358"/>
      <c r="L86" s="506">
        <f t="shared" si="2"/>
        <v>7942674.0465414226</v>
      </c>
      <c r="M86" s="358"/>
      <c r="N86" s="358"/>
      <c r="O86" s="340"/>
    </row>
    <row r="87" spans="2:15">
      <c r="B87" s="367">
        <f t="shared" si="1"/>
        <v>39</v>
      </c>
      <c r="C87" s="420"/>
      <c r="D87" s="379" t="s">
        <v>47</v>
      </c>
      <c r="E87" s="1082" t="str">
        <f>"(sum lns "&amp;B78&amp;" to "&amp;B86&amp;")"</f>
        <v>(sum lns 30 to 38)</v>
      </c>
      <c r="F87" s="706"/>
      <c r="G87" s="376">
        <f>SUM(G78:G86)</f>
        <v>4525182197.833477</v>
      </c>
      <c r="H87" s="376"/>
      <c r="I87" s="362"/>
      <c r="J87" s="358"/>
      <c r="K87" s="376"/>
      <c r="L87" s="376">
        <f>SUM(L78:L86)</f>
        <v>488787813.99020636</v>
      </c>
      <c r="M87" s="358"/>
      <c r="N87" s="358"/>
      <c r="O87" s="340"/>
    </row>
    <row r="88" spans="2:15">
      <c r="B88" s="367"/>
      <c r="C88" s="368"/>
      <c r="D88" s="333"/>
      <c r="E88" s="1105"/>
      <c r="F88" s="706"/>
      <c r="G88" s="376"/>
      <c r="H88" s="376"/>
      <c r="I88" s="362"/>
      <c r="J88" s="421"/>
      <c r="K88" s="358"/>
      <c r="L88" s="376"/>
      <c r="M88" s="358"/>
      <c r="N88" s="358"/>
      <c r="O88" s="340"/>
    </row>
    <row r="89" spans="2:15">
      <c r="B89" s="367">
        <f>+B87+1</f>
        <v>40</v>
      </c>
      <c r="C89" s="368"/>
      <c r="D89" s="379" t="s">
        <v>84</v>
      </c>
      <c r="E89" s="403"/>
      <c r="F89" s="403"/>
      <c r="G89" s="376"/>
      <c r="H89" s="376"/>
      <c r="I89" s="362"/>
      <c r="J89" s="358"/>
      <c r="K89" s="358"/>
      <c r="L89" s="376"/>
      <c r="M89" s="358"/>
      <c r="N89" s="358"/>
      <c r="O89" s="340"/>
    </row>
    <row r="90" spans="2:15">
      <c r="B90" s="367">
        <f t="shared" ref="B90:B95" si="3">+B89+1</f>
        <v>41</v>
      </c>
      <c r="C90" s="420"/>
      <c r="D90" s="411" t="str">
        <f>+D78</f>
        <v xml:space="preserve">  Production</v>
      </c>
      <c r="E90" s="358" t="str">
        <f>" (ln "&amp;B66&amp;" + ln "&amp;B67&amp;" - ln "&amp;B78&amp;" - ln "&amp;B79&amp;")"</f>
        <v xml:space="preserve"> (ln 19 + ln 20 - ln 30 - ln 31)</v>
      </c>
      <c r="F90" s="358"/>
      <c r="G90" s="376">
        <f>G66+G67-G78-G79</f>
        <v>2122346471.7780292</v>
      </c>
      <c r="H90" s="376"/>
      <c r="I90" s="362"/>
      <c r="J90" s="422"/>
      <c r="K90" s="358"/>
      <c r="L90" s="376">
        <f>L66+L67-L78-L79</f>
        <v>0</v>
      </c>
      <c r="M90" s="358"/>
      <c r="N90" s="358"/>
      <c r="O90" s="340"/>
    </row>
    <row r="91" spans="2:15">
      <c r="B91" s="367">
        <f t="shared" si="3"/>
        <v>42</v>
      </c>
      <c r="C91" s="420"/>
      <c r="D91" s="411" t="str">
        <f>+D80</f>
        <v xml:space="preserve">  Transmission</v>
      </c>
      <c r="E91" s="358" t="str">
        <f>" (ln "&amp;B68&amp;" + ln "&amp;B69&amp;" - ln "&amp;B80&amp;" - ln "&amp;B81&amp;")"</f>
        <v xml:space="preserve"> (ln 21 + ln 22 - ln 32 - ln 33)</v>
      </c>
      <c r="F91" s="358"/>
      <c r="G91" s="376">
        <f>+G68+G69-G80-G81</f>
        <v>1498996646.9001255</v>
      </c>
      <c r="H91" s="376"/>
      <c r="I91" s="362"/>
      <c r="J91" s="419"/>
      <c r="K91" s="358"/>
      <c r="L91" s="376">
        <f>+L68+L69-L80-L81</f>
        <v>1455643798.7843056</v>
      </c>
      <c r="M91" s="358"/>
      <c r="N91" s="358"/>
      <c r="O91" s="340"/>
    </row>
    <row r="92" spans="2:15">
      <c r="B92" s="367">
        <f>+B91+1</f>
        <v>43</v>
      </c>
      <c r="C92" s="420"/>
      <c r="D92" s="411" t="str">
        <f>+D82</f>
        <v xml:space="preserve">  Distribution</v>
      </c>
      <c r="E92" s="358" t="str">
        <f>" (ln "&amp;B70&amp;" + ln "&amp;B71&amp;" - ln "&amp;B82&amp;" - ln "&amp;B83&amp;")"</f>
        <v xml:space="preserve"> (ln 23 + ln 24 - ln 34 - ln 35)</v>
      </c>
      <c r="F92" s="358"/>
      <c r="G92" s="376">
        <f>+G70+G71-G82-G83</f>
        <v>2916991781.0254226</v>
      </c>
      <c r="H92" s="376"/>
      <c r="I92" s="362"/>
      <c r="J92" s="421"/>
      <c r="K92" s="358"/>
      <c r="L92" s="376">
        <f>+L70+L71-L82-L83</f>
        <v>0</v>
      </c>
      <c r="M92" s="358"/>
      <c r="N92" s="333"/>
      <c r="O92" s="340"/>
    </row>
    <row r="93" spans="2:15">
      <c r="B93" s="367">
        <f t="shared" si="3"/>
        <v>44</v>
      </c>
      <c r="C93" s="420"/>
      <c r="D93" s="411" t="str">
        <f>+D84</f>
        <v xml:space="preserve">  General Plant   </v>
      </c>
      <c r="E93" s="358" t="str">
        <f>" (ln "&amp;B72&amp;" + ln "&amp;B73&amp;" - ln "&amp;B84&amp;" - ln "&amp;B85&amp;")"</f>
        <v xml:space="preserve"> (ln 25 + ln 26 - ln 36 - ln 37)</v>
      </c>
      <c r="F93" s="358"/>
      <c r="G93" s="376">
        <f>+G72+G73-G84-G85</f>
        <v>256832904.21032003</v>
      </c>
      <c r="H93" s="376"/>
      <c r="I93" s="362"/>
      <c r="J93" s="421"/>
      <c r="K93" s="358"/>
      <c r="L93" s="376">
        <f>+L72+L73-L84-L85</f>
        <v>12715023.000070699</v>
      </c>
      <c r="M93" s="358"/>
      <c r="N93" s="358"/>
      <c r="O93" s="340"/>
    </row>
    <row r="94" spans="2:15" ht="15.75" thickBot="1">
      <c r="B94" s="367">
        <f t="shared" si="3"/>
        <v>45</v>
      </c>
      <c r="C94" s="420"/>
      <c r="D94" s="411" t="str">
        <f>+D86</f>
        <v xml:space="preserve">  Intangible Plant</v>
      </c>
      <c r="E94" s="358" t="str">
        <f>" (ln "&amp;B74&amp;" - ln "&amp;B86&amp;")"</f>
        <v xml:space="preserve"> (ln 27 - ln 38)</v>
      </c>
      <c r="F94" s="358"/>
      <c r="G94" s="412">
        <f>+G74-G86</f>
        <v>210057470.37993473</v>
      </c>
      <c r="H94" s="376"/>
      <c r="I94" s="362"/>
      <c r="J94" s="421"/>
      <c r="K94" s="358"/>
      <c r="L94" s="412">
        <f>+L74-L86</f>
        <v>10399312.251012653</v>
      </c>
      <c r="M94" s="358"/>
      <c r="N94" s="358"/>
      <c r="O94" s="340"/>
    </row>
    <row r="95" spans="2:15" ht="15.75">
      <c r="B95" s="367">
        <f t="shared" si="3"/>
        <v>46</v>
      </c>
      <c r="C95" s="420"/>
      <c r="D95" s="411" t="s">
        <v>46</v>
      </c>
      <c r="E95" s="411" t="str">
        <f>"(sum lns "&amp;B90&amp;" to "&amp;B94&amp;")"</f>
        <v>(sum lns 41 to 45)</v>
      </c>
      <c r="F95" s="358"/>
      <c r="G95" s="376">
        <f>SUM(G90:G94)</f>
        <v>7005225274.2938318</v>
      </c>
      <c r="H95" s="376"/>
      <c r="I95" s="507" t="s">
        <v>748</v>
      </c>
      <c r="J95" s="414">
        <f>+L95/G95</f>
        <v>0.21109358744847168</v>
      </c>
      <c r="K95" s="358"/>
      <c r="L95" s="376">
        <f>SUM(L90:L94)</f>
        <v>1478758134.0353889</v>
      </c>
      <c r="M95" s="358"/>
      <c r="N95" s="358"/>
      <c r="O95" s="340"/>
    </row>
    <row r="96" spans="2:15">
      <c r="B96" s="367"/>
      <c r="C96" s="368"/>
      <c r="D96" s="379"/>
      <c r="E96" s="358"/>
      <c r="F96" s="358"/>
      <c r="G96" s="376"/>
      <c r="H96" s="376"/>
      <c r="I96" s="438"/>
      <c r="J96" s="426"/>
      <c r="K96" s="358"/>
      <c r="L96" s="376"/>
      <c r="M96" s="358"/>
      <c r="N96" s="358"/>
      <c r="O96" s="340"/>
    </row>
    <row r="97" spans="2:15">
      <c r="B97" s="367"/>
      <c r="C97" s="368"/>
      <c r="D97" s="333"/>
      <c r="E97" s="333"/>
      <c r="F97" s="333"/>
      <c r="G97" s="594"/>
      <c r="H97" s="594"/>
      <c r="I97" s="1104"/>
      <c r="J97" s="594"/>
      <c r="K97" s="594"/>
      <c r="L97" s="594"/>
      <c r="M97" s="427"/>
      <c r="N97" s="358"/>
      <c r="O97" s="340"/>
    </row>
    <row r="98" spans="2:15">
      <c r="B98" s="367">
        <f>+B95+1</f>
        <v>47</v>
      </c>
      <c r="C98" s="368"/>
      <c r="D98" s="379" t="s">
        <v>327</v>
      </c>
      <c r="E98" s="358" t="s">
        <v>304</v>
      </c>
      <c r="F98" s="362"/>
      <c r="G98" s="594"/>
      <c r="H98" s="594"/>
      <c r="I98" s="1104"/>
      <c r="J98" s="594"/>
      <c r="K98" s="594"/>
      <c r="L98" s="594"/>
      <c r="M98" s="427"/>
      <c r="N98" s="358"/>
      <c r="O98" s="340"/>
    </row>
    <row r="99" spans="2:15">
      <c r="B99" s="367">
        <f t="shared" ref="B99:B104" si="4">+B98+1</f>
        <v>48</v>
      </c>
      <c r="C99" s="420"/>
      <c r="D99" s="411" t="s">
        <v>194</v>
      </c>
      <c r="E99" s="358" t="s">
        <v>538</v>
      </c>
      <c r="F99" s="358"/>
      <c r="G99" s="376">
        <f>-'WS B ADIT &amp; ITC'!I17</f>
        <v>-15700480.184722092</v>
      </c>
      <c r="H99" s="376"/>
      <c r="I99" s="362" t="s">
        <v>128</v>
      </c>
      <c r="J99" s="363"/>
      <c r="K99" s="358"/>
      <c r="L99" s="376">
        <f>'WS B ADIT &amp; ITC'!I20</f>
        <v>0</v>
      </c>
      <c r="M99" s="358"/>
      <c r="N99" s="358"/>
      <c r="O99" s="340"/>
    </row>
    <row r="100" spans="2:15">
      <c r="B100" s="367">
        <f t="shared" si="4"/>
        <v>49</v>
      </c>
      <c r="C100" s="420"/>
      <c r="D100" s="411" t="s">
        <v>195</v>
      </c>
      <c r="E100" s="358" t="s">
        <v>539</v>
      </c>
      <c r="F100" s="358"/>
      <c r="G100" s="376">
        <f>-'WS B ADIT &amp; ITC'!I25</f>
        <v>-1159919733.7206683</v>
      </c>
      <c r="H100" s="376"/>
      <c r="I100" s="362" t="s">
        <v>130</v>
      </c>
      <c r="J100" s="363"/>
      <c r="K100" s="358"/>
      <c r="L100" s="376">
        <f>-'WS B ADIT &amp; ITC'!I28</f>
        <v>-245088833.02017593</v>
      </c>
      <c r="M100" s="358"/>
      <c r="N100" s="358"/>
      <c r="O100" s="340"/>
    </row>
    <row r="101" spans="2:15">
      <c r="B101" s="367">
        <f t="shared" si="4"/>
        <v>50</v>
      </c>
      <c r="C101" s="420"/>
      <c r="D101" s="411" t="s">
        <v>196</v>
      </c>
      <c r="E101" s="358" t="s">
        <v>540</v>
      </c>
      <c r="F101" s="358"/>
      <c r="G101" s="376">
        <f>-'WS B ADIT &amp; ITC'!I33</f>
        <v>-898051924.13216925</v>
      </c>
      <c r="H101" s="376"/>
      <c r="I101" s="362" t="s">
        <v>130</v>
      </c>
      <c r="J101" s="363"/>
      <c r="K101" s="358"/>
      <c r="L101" s="376">
        <f>-'WS B ADIT &amp; ITC'!I36</f>
        <v>3346542.1359042227</v>
      </c>
      <c r="M101" s="358"/>
      <c r="N101" s="358"/>
      <c r="O101" s="340"/>
    </row>
    <row r="102" spans="2:15">
      <c r="B102" s="367">
        <f t="shared" si="4"/>
        <v>51</v>
      </c>
      <c r="C102" s="420"/>
      <c r="D102" s="411" t="s">
        <v>197</v>
      </c>
      <c r="E102" s="358" t="s">
        <v>541</v>
      </c>
      <c r="F102" s="358"/>
      <c r="G102" s="376">
        <f>'WS B ADIT &amp; ITC'!I41</f>
        <v>930423023.43864989</v>
      </c>
      <c r="H102" s="376"/>
      <c r="I102" s="362" t="s">
        <v>130</v>
      </c>
      <c r="J102" s="363"/>
      <c r="K102" s="358"/>
      <c r="L102" s="376">
        <f>'WS B ADIT &amp; ITC'!I44</f>
        <v>3116193.7522753775</v>
      </c>
      <c r="M102" s="358"/>
      <c r="N102" s="358"/>
      <c r="O102" s="340"/>
    </row>
    <row r="103" spans="2:15" ht="15.75" thickBot="1">
      <c r="B103" s="367">
        <f t="shared" si="4"/>
        <v>52</v>
      </c>
      <c r="C103" s="420"/>
      <c r="D103" s="492" t="s">
        <v>135</v>
      </c>
      <c r="E103" s="358" t="s">
        <v>542</v>
      </c>
      <c r="F103" s="333"/>
      <c r="G103" s="412">
        <f>-'WS B ADIT &amp; ITC'!I51</f>
        <v>0</v>
      </c>
      <c r="H103" s="376"/>
      <c r="I103" s="362" t="s">
        <v>130</v>
      </c>
      <c r="J103" s="363"/>
      <c r="K103" s="358"/>
      <c r="L103" s="412">
        <f>-'WS B ADIT &amp; ITC'!I52</f>
        <v>-1100941</v>
      </c>
      <c r="M103" s="428"/>
      <c r="N103" s="358"/>
      <c r="O103" s="340"/>
    </row>
    <row r="104" spans="2:15">
      <c r="B104" s="367">
        <f t="shared" si="4"/>
        <v>53</v>
      </c>
      <c r="C104" s="420"/>
      <c r="D104" s="411" t="s">
        <v>93</v>
      </c>
      <c r="E104" s="411" t="str">
        <f>"(sum lns "&amp;B99&amp;" to "&amp;B103&amp;")"</f>
        <v>(sum lns 48 to 52)</v>
      </c>
      <c r="F104" s="358"/>
      <c r="G104" s="376">
        <f>SUM(G99:G103)</f>
        <v>-1143249114.5989099</v>
      </c>
      <c r="H104" s="594"/>
      <c r="I104" s="362"/>
      <c r="J104" s="430"/>
      <c r="K104" s="358"/>
      <c r="L104" s="376">
        <f>SUM(L99:L103)</f>
        <v>-239727038.13199633</v>
      </c>
      <c r="M104" s="358"/>
      <c r="N104" s="431"/>
    </row>
    <row r="105" spans="2:15">
      <c r="B105" s="367"/>
      <c r="C105" s="368"/>
      <c r="D105" s="411"/>
      <c r="E105" s="358"/>
      <c r="F105" s="358"/>
      <c r="G105" s="376"/>
      <c r="H105" s="594"/>
      <c r="I105" s="362"/>
      <c r="J105" s="421"/>
      <c r="K105" s="358"/>
      <c r="L105" s="376"/>
      <c r="M105" s="358"/>
      <c r="N105" s="333"/>
    </row>
    <row r="106" spans="2:15">
      <c r="B106" s="367">
        <f>+B104+1</f>
        <v>54</v>
      </c>
      <c r="C106" s="368"/>
      <c r="D106" s="411" t="s">
        <v>206</v>
      </c>
      <c r="E106" s="358" t="str">
        <f>"(Worksheet A ln "&amp;'WS A - RB Support'!A69&amp;"."&amp;'WS A - RB Support'!F68&amp;" &amp; "&amp;"ln "&amp;'WS A - RB Support'!A71&amp;"."&amp;'WS A - RB Support'!F68&amp;")"</f>
        <v>(Worksheet A ln 44.(e) &amp; ln 45.(e))</v>
      </c>
      <c r="F106" s="358"/>
      <c r="G106" s="376">
        <f>'WS A - RB Support'!F69</f>
        <v>1320224.5313507528</v>
      </c>
      <c r="H106" s="594"/>
      <c r="I106" s="362" t="s">
        <v>130</v>
      </c>
      <c r="J106" s="363"/>
      <c r="K106" s="358"/>
      <c r="L106" s="376">
        <f>'WS A - RB Support'!F71</f>
        <v>146559.23135075299</v>
      </c>
      <c r="M106" s="358"/>
      <c r="N106" s="333"/>
    </row>
    <row r="107" spans="2:15">
      <c r="B107" s="367"/>
      <c r="C107" s="368"/>
      <c r="D107" s="411"/>
      <c r="E107" s="358"/>
      <c r="F107" s="358"/>
      <c r="G107" s="376"/>
      <c r="H107" s="594"/>
      <c r="I107" s="362"/>
      <c r="J107" s="363"/>
      <c r="K107" s="358"/>
      <c r="L107" s="376"/>
      <c r="M107" s="358"/>
      <c r="N107" s="333"/>
    </row>
    <row r="108" spans="2:15">
      <c r="B108" s="367">
        <f>+B106+1</f>
        <v>55</v>
      </c>
      <c r="C108" s="368"/>
      <c r="D108" s="411" t="s">
        <v>328</v>
      </c>
      <c r="E108" s="358" t="str">
        <f>"(Worksheet A ln "&amp;'WS A - RB Support'!A80&amp;"."&amp;'WS A - RB Support'!F68&amp;")"</f>
        <v>(Worksheet A ln 51.(e))</v>
      </c>
      <c r="F108" s="358"/>
      <c r="G108" s="376">
        <f>'WS A - RB Support'!F80</f>
        <v>0</v>
      </c>
      <c r="H108" s="594"/>
      <c r="I108" s="362" t="s">
        <v>130</v>
      </c>
      <c r="J108" s="358"/>
      <c r="K108" s="358"/>
      <c r="L108" s="376">
        <f>+G108</f>
        <v>0</v>
      </c>
      <c r="M108" s="358"/>
      <c r="N108" s="333"/>
    </row>
    <row r="109" spans="2:15">
      <c r="B109" s="367"/>
      <c r="C109" s="368"/>
      <c r="D109" s="411"/>
      <c r="E109" s="358"/>
      <c r="F109" s="358"/>
      <c r="G109" s="376"/>
      <c r="H109" s="594"/>
      <c r="I109" s="362"/>
      <c r="J109" s="358"/>
      <c r="K109" s="358"/>
      <c r="L109" s="376"/>
      <c r="M109" s="358"/>
      <c r="N109" s="333"/>
    </row>
    <row r="110" spans="2:15" ht="14.25" customHeight="1">
      <c r="B110" s="367">
        <f>+B108+1</f>
        <v>56</v>
      </c>
      <c r="C110" s="420"/>
      <c r="D110" s="487" t="s">
        <v>736</v>
      </c>
      <c r="E110" s="358" t="str">
        <f>"(Worksheet A ln "&amp;'WS A - RB Support'!A88&amp;"."&amp;'WS A - RB Support'!F68&amp;")"</f>
        <v>(Worksheet A ln 54.(e))</v>
      </c>
      <c r="F110" s="358"/>
      <c r="G110" s="361">
        <f>-'WS A - RB Support'!F88</f>
        <v>-800896.43</v>
      </c>
      <c r="H110" s="376"/>
      <c r="I110" s="362" t="s">
        <v>133</v>
      </c>
      <c r="J110" s="363">
        <f>L241</f>
        <v>4.9506986027220215E-2</v>
      </c>
      <c r="K110" s="358"/>
      <c r="L110" s="361">
        <f>G110*J110</f>
        <v>-39649.968369260554</v>
      </c>
      <c r="M110" s="358"/>
      <c r="N110" s="333"/>
    </row>
    <row r="111" spans="2:15">
      <c r="B111" s="367"/>
      <c r="C111" s="368"/>
      <c r="D111" s="411"/>
      <c r="E111" s="358"/>
      <c r="F111" s="358"/>
      <c r="G111" s="376"/>
      <c r="H111" s="594"/>
      <c r="I111" s="362"/>
      <c r="J111" s="358"/>
      <c r="K111" s="358"/>
      <c r="L111" s="376"/>
      <c r="M111" s="358"/>
      <c r="N111" s="333"/>
    </row>
    <row r="112" spans="2:15">
      <c r="B112" s="367">
        <f>+B110+1</f>
        <v>57</v>
      </c>
      <c r="C112" s="368"/>
      <c r="D112" s="411" t="s">
        <v>94</v>
      </c>
      <c r="E112" s="358" t="s">
        <v>499</v>
      </c>
      <c r="F112" s="358"/>
      <c r="G112" s="376"/>
      <c r="H112" s="594"/>
      <c r="I112" s="362"/>
      <c r="J112" s="358"/>
      <c r="K112" s="358"/>
      <c r="L112" s="376"/>
      <c r="M112" s="358"/>
      <c r="N112" s="333"/>
    </row>
    <row r="113" spans="2:14">
      <c r="B113" s="367">
        <f t="shared" ref="B113:B120" si="5">+B112+1</f>
        <v>58</v>
      </c>
      <c r="C113" s="420"/>
      <c r="D113" s="411" t="s">
        <v>205</v>
      </c>
      <c r="E113" s="333" t="str">
        <f>"(1/8 * ln "&amp;B149&amp;")"</f>
        <v>(1/8 * ln 78)</v>
      </c>
      <c r="F113" s="333"/>
      <c r="G113" s="376">
        <f>+G149/8</f>
        <v>3805024.7243593782</v>
      </c>
      <c r="H113" s="358"/>
      <c r="I113" s="362"/>
      <c r="J113" s="421"/>
      <c r="K113" s="358"/>
      <c r="L113" s="376">
        <f>+L149/8</f>
        <v>3689741.5211186064</v>
      </c>
      <c r="M113" s="353"/>
      <c r="N113" s="333"/>
    </row>
    <row r="114" spans="2:14">
      <c r="B114" s="367">
        <f t="shared" si="5"/>
        <v>59</v>
      </c>
      <c r="C114" s="420"/>
      <c r="D114" s="411" t="s">
        <v>336</v>
      </c>
      <c r="E114" s="358" t="s">
        <v>543</v>
      </c>
      <c r="F114" s="358"/>
      <c r="G114" s="376">
        <f>'WS C  - Working Capital'!I17</f>
        <v>286359</v>
      </c>
      <c r="H114" s="594"/>
      <c r="I114" s="362" t="s">
        <v>121</v>
      </c>
      <c r="J114" s="363">
        <f>L231</f>
        <v>0.96970237735835452</v>
      </c>
      <c r="K114" s="358"/>
      <c r="L114" s="376">
        <f>+J114*G114</f>
        <v>277683.00307796104</v>
      </c>
      <c r="M114" s="358"/>
      <c r="N114" s="333"/>
    </row>
    <row r="115" spans="2:14">
      <c r="B115" s="367">
        <f t="shared" si="5"/>
        <v>60</v>
      </c>
      <c r="C115" s="420"/>
      <c r="D115" s="411" t="s">
        <v>337</v>
      </c>
      <c r="E115" s="358" t="s">
        <v>544</v>
      </c>
      <c r="F115" s="358"/>
      <c r="G115" s="376">
        <f>'WS C  - Working Capital'!I19</f>
        <v>584519</v>
      </c>
      <c r="H115" s="594"/>
      <c r="I115" s="362" t="s">
        <v>133</v>
      </c>
      <c r="J115" s="363">
        <f>L241</f>
        <v>4.9506986027220215E-2</v>
      </c>
      <c r="K115" s="358"/>
      <c r="L115" s="376">
        <f>+J115*G115</f>
        <v>28937.773965644734</v>
      </c>
      <c r="M115" s="358"/>
      <c r="N115" s="333"/>
    </row>
    <row r="116" spans="2:14">
      <c r="B116" s="367">
        <f t="shared" si="5"/>
        <v>61</v>
      </c>
      <c r="C116" s="420"/>
      <c r="D116" s="411" t="s">
        <v>531</v>
      </c>
      <c r="E116" s="358" t="s">
        <v>545</v>
      </c>
      <c r="F116" s="358"/>
      <c r="G116" s="376">
        <f>'WS C  - Working Capital'!I21</f>
        <v>0</v>
      </c>
      <c r="H116" s="594"/>
      <c r="I116" s="362" t="s">
        <v>747</v>
      </c>
      <c r="J116" s="363">
        <f>J75</f>
        <v>0.17063975863661229</v>
      </c>
      <c r="K116" s="358"/>
      <c r="L116" s="376">
        <f>+J116*G116</f>
        <v>0</v>
      </c>
      <c r="M116" s="358"/>
      <c r="N116" s="333"/>
    </row>
    <row r="117" spans="2:14">
      <c r="B117" s="367">
        <f t="shared" si="5"/>
        <v>62</v>
      </c>
      <c r="C117" s="420"/>
      <c r="D117" s="411" t="s">
        <v>209</v>
      </c>
      <c r="E117" s="358" t="s">
        <v>574</v>
      </c>
      <c r="F117" s="358"/>
      <c r="G117" s="376">
        <f>'WS C  - Working Capital'!J31</f>
        <v>218658938.40441146</v>
      </c>
      <c r="H117" s="594"/>
      <c r="I117" s="362" t="s">
        <v>133</v>
      </c>
      <c r="J117" s="363">
        <f>L241</f>
        <v>4.9506986027220215E-2</v>
      </c>
      <c r="K117" s="358"/>
      <c r="L117" s="376">
        <f>+J117*G117</f>
        <v>10825145.008314004</v>
      </c>
      <c r="M117" s="358"/>
      <c r="N117" s="333"/>
    </row>
    <row r="118" spans="2:14">
      <c r="B118" s="367">
        <f t="shared" si="5"/>
        <v>63</v>
      </c>
      <c r="C118" s="420"/>
      <c r="D118" s="411" t="s">
        <v>210</v>
      </c>
      <c r="E118" s="358" t="s">
        <v>573</v>
      </c>
      <c r="F118" s="358"/>
      <c r="G118" s="376">
        <f>'WS C  - Working Capital'!I31</f>
        <v>8290653.0319798188</v>
      </c>
      <c r="H118" s="594"/>
      <c r="I118" s="362" t="s">
        <v>747</v>
      </c>
      <c r="J118" s="363">
        <f>J75</f>
        <v>0.17063975863661229</v>
      </c>
      <c r="K118" s="358"/>
      <c r="L118" s="376">
        <f>+G118*J118</f>
        <v>1414715.0323169341</v>
      </c>
      <c r="M118" s="358"/>
      <c r="N118" s="333"/>
    </row>
    <row r="119" spans="2:14">
      <c r="B119" s="367">
        <f t="shared" si="5"/>
        <v>64</v>
      </c>
      <c r="C119" s="420"/>
      <c r="D119" s="411" t="s">
        <v>306</v>
      </c>
      <c r="E119" s="358" t="s">
        <v>575</v>
      </c>
      <c r="F119" s="358"/>
      <c r="G119" s="376">
        <f>'WS C  - Working Capital'!G31</f>
        <v>0</v>
      </c>
      <c r="H119" s="594"/>
      <c r="I119" s="362" t="s">
        <v>130</v>
      </c>
      <c r="J119" s="363">
        <v>1</v>
      </c>
      <c r="K119" s="358"/>
      <c r="L119" s="376">
        <f>+G119*J119</f>
        <v>0</v>
      </c>
      <c r="M119" s="358"/>
      <c r="N119" s="333"/>
    </row>
    <row r="120" spans="2:14" ht="15.75" thickBot="1">
      <c r="B120" s="367">
        <f t="shared" si="5"/>
        <v>65</v>
      </c>
      <c r="C120" s="420"/>
      <c r="D120" s="411" t="s">
        <v>106</v>
      </c>
      <c r="E120" s="358" t="s">
        <v>576</v>
      </c>
      <c r="F120" s="358"/>
      <c r="G120" s="412">
        <f>'WS C  - Working Capital'!E31</f>
        <v>-195886661.03162238</v>
      </c>
      <c r="H120" s="376"/>
      <c r="I120" s="362" t="s">
        <v>128</v>
      </c>
      <c r="J120" s="363">
        <v>0</v>
      </c>
      <c r="K120" s="358"/>
      <c r="L120" s="412">
        <f>+G120*J120</f>
        <v>0</v>
      </c>
      <c r="M120" s="358"/>
      <c r="N120" s="333"/>
    </row>
    <row r="121" spans="2:14">
      <c r="B121" s="367">
        <f>+B120+1</f>
        <v>66</v>
      </c>
      <c r="C121" s="420"/>
      <c r="D121" s="411" t="s">
        <v>45</v>
      </c>
      <c r="E121" s="411" t="str">
        <f>"(sum lns "&amp;B113&amp;" to "&amp;B120&amp;")"</f>
        <v>(sum lns 58 to 65)</v>
      </c>
      <c r="F121" s="353"/>
      <c r="G121" s="376">
        <f>SUM(G113:G120)</f>
        <v>35738833.129128277</v>
      </c>
      <c r="H121" s="353"/>
      <c r="I121" s="368"/>
      <c r="J121" s="353"/>
      <c r="K121" s="353"/>
      <c r="L121" s="376">
        <f>SUM(L113:L120)</f>
        <v>16236222.338793151</v>
      </c>
      <c r="M121" s="353"/>
      <c r="N121" s="333"/>
    </row>
    <row r="122" spans="2:14">
      <c r="B122" s="367"/>
      <c r="C122" s="368"/>
      <c r="D122" s="411"/>
      <c r="E122" s="353"/>
      <c r="F122" s="353"/>
      <c r="G122" s="376"/>
      <c r="H122" s="353"/>
      <c r="I122" s="368"/>
      <c r="J122" s="353"/>
      <c r="K122" s="353"/>
      <c r="L122" s="376"/>
      <c r="M122" s="353"/>
      <c r="N122" s="333"/>
    </row>
    <row r="123" spans="2:14">
      <c r="B123" s="367">
        <f>+B121+1</f>
        <v>67</v>
      </c>
      <c r="C123" s="368"/>
      <c r="D123" s="411" t="s">
        <v>32</v>
      </c>
      <c r="E123" s="379" t="s">
        <v>546</v>
      </c>
      <c r="F123" s="353"/>
      <c r="G123" s="376">
        <f>+'WS D IPP Credits'!C23</f>
        <v>0</v>
      </c>
      <c r="H123" s="353"/>
      <c r="I123" s="484" t="s">
        <v>130</v>
      </c>
      <c r="J123" s="363">
        <v>1</v>
      </c>
      <c r="K123" s="358"/>
      <c r="L123" s="376">
        <f>+J123*G123</f>
        <v>0</v>
      </c>
      <c r="M123" s="353"/>
      <c r="N123" s="333"/>
    </row>
    <row r="124" spans="2:14" ht="15.75" thickBot="1">
      <c r="B124" s="367"/>
      <c r="C124" s="333"/>
      <c r="D124" s="492"/>
      <c r="E124" s="358"/>
      <c r="F124" s="358"/>
      <c r="G124" s="412"/>
      <c r="H124" s="358"/>
      <c r="I124" s="362"/>
      <c r="J124" s="358"/>
      <c r="K124" s="358"/>
      <c r="L124" s="412"/>
      <c r="M124" s="358"/>
      <c r="N124" s="333"/>
    </row>
    <row r="125" spans="2:14" ht="15.75" thickBot="1">
      <c r="B125" s="367">
        <f>+B123+1</f>
        <v>68</v>
      </c>
      <c r="C125" s="368"/>
      <c r="D125" s="379" t="str">
        <f>"RATE BASE  (sum lns "&amp;B95&amp;", "&amp;B104&amp;", "&amp;B106&amp;", "&amp;B108&amp;", "&amp;B110&amp;", "&amp;B121&amp;", "&amp;B123&amp;")"</f>
        <v>RATE BASE  (sum lns 46, 53, 54, 55, 56, 66, 67)</v>
      </c>
      <c r="E125" s="358"/>
      <c r="F125" s="358"/>
      <c r="G125" s="1103">
        <f>+G121+G106+G104+G95+G123+G108+G110</f>
        <v>5898234320.9254007</v>
      </c>
      <c r="H125" s="358"/>
      <c r="I125" s="358"/>
      <c r="J125" s="421"/>
      <c r="K125" s="358"/>
      <c r="L125" s="1103">
        <f>+L121+L106+L104+L95+L123+L108+L110</f>
        <v>1255374227.5051672</v>
      </c>
      <c r="M125" s="358"/>
      <c r="N125" s="333"/>
    </row>
    <row r="126" spans="2:14" ht="16.5" thickTop="1">
      <c r="B126" s="342"/>
      <c r="C126" s="383"/>
      <c r="D126" s="383"/>
      <c r="E126" s="383"/>
      <c r="F126" s="383"/>
      <c r="G126" s="383"/>
      <c r="H126" s="383"/>
      <c r="I126" s="332"/>
      <c r="J126" s="332"/>
      <c r="K126" s="332"/>
      <c r="L126" s="1061"/>
      <c r="M126" s="333"/>
      <c r="N126" s="333"/>
    </row>
    <row r="127" spans="2:14">
      <c r="B127" s="435"/>
      <c r="C127" s="343"/>
      <c r="D127" s="334"/>
      <c r="E127" s="340"/>
      <c r="F127" s="340"/>
      <c r="G127" s="340"/>
      <c r="H127" s="340"/>
      <c r="I127" s="340"/>
      <c r="J127" s="340"/>
      <c r="K127" s="340"/>
      <c r="L127" s="340"/>
      <c r="M127" s="358"/>
      <c r="N127" s="333"/>
    </row>
    <row r="128" spans="2:14">
      <c r="B128" s="435"/>
      <c r="C128" s="343"/>
      <c r="D128" s="334"/>
      <c r="E128" s="340"/>
      <c r="F128" s="371" t="str">
        <f>F54</f>
        <v xml:space="preserve">AEP East Companies </v>
      </c>
      <c r="G128" s="371"/>
      <c r="H128" s="340"/>
      <c r="I128" s="340"/>
      <c r="J128" s="340"/>
      <c r="K128" s="340"/>
      <c r="L128" s="340"/>
      <c r="M128" s="436"/>
      <c r="N128" s="333"/>
    </row>
    <row r="129" spans="2:15">
      <c r="B129" s="435"/>
      <c r="C129" s="343"/>
      <c r="D129" s="334"/>
      <c r="E129" s="340"/>
      <c r="F129" s="371" t="str">
        <f>F55</f>
        <v>Transmission Cost of Service Formula Rate</v>
      </c>
      <c r="G129" s="371"/>
      <c r="H129" s="340"/>
      <c r="I129" s="340"/>
      <c r="J129" s="340"/>
      <c r="K129" s="340"/>
      <c r="L129" s="340"/>
      <c r="M129" s="436"/>
      <c r="N129" s="333"/>
    </row>
    <row r="130" spans="2:15">
      <c r="B130" s="435"/>
      <c r="C130" s="343"/>
      <c r="E130" s="340"/>
      <c r="F130" s="371" t="str">
        <f>F56</f>
        <v>Utilizing  Actual/Projected FERC Form 1 Data</v>
      </c>
      <c r="G130" s="340"/>
      <c r="H130" s="340"/>
      <c r="I130" s="340"/>
      <c r="J130" s="340"/>
      <c r="K130" s="340"/>
      <c r="L130" s="340"/>
      <c r="M130" s="393"/>
      <c r="N130" s="333"/>
    </row>
    <row r="131" spans="2:15">
      <c r="B131" s="435"/>
      <c r="C131" s="343"/>
      <c r="E131" s="340"/>
      <c r="F131" s="371"/>
      <c r="G131" s="340"/>
      <c r="H131" s="340"/>
      <c r="I131" s="340"/>
      <c r="J131" s="340"/>
      <c r="K131" s="340"/>
      <c r="L131" s="340"/>
      <c r="M131" s="358"/>
      <c r="N131" s="333"/>
    </row>
    <row r="132" spans="2:15">
      <c r="B132" s="435"/>
      <c r="C132" s="343"/>
      <c r="E132" s="437"/>
      <c r="F132" s="371" t="str">
        <f>F58</f>
        <v xml:space="preserve">Indiana Michigan Power Company </v>
      </c>
      <c r="G132" s="437"/>
      <c r="H132" s="438"/>
      <c r="I132" s="437"/>
      <c r="J132" s="437"/>
      <c r="K132" s="437"/>
      <c r="M132" s="358"/>
      <c r="N132" s="333"/>
    </row>
    <row r="133" spans="2:15">
      <c r="B133" s="435"/>
      <c r="C133" s="343"/>
      <c r="E133" s="437"/>
      <c r="F133" s="371"/>
      <c r="G133" s="437"/>
      <c r="H133" s="438"/>
      <c r="I133" s="437"/>
      <c r="J133" s="437"/>
      <c r="K133" s="437"/>
      <c r="M133" s="358"/>
      <c r="N133" s="333"/>
    </row>
    <row r="134" spans="2:15">
      <c r="B134" s="435"/>
      <c r="D134" s="343" t="s">
        <v>122</v>
      </c>
      <c r="E134" s="343" t="s">
        <v>123</v>
      </c>
      <c r="F134" s="343"/>
      <c r="G134" s="343" t="s">
        <v>124</v>
      </c>
      <c r="H134" s="358"/>
      <c r="I134" s="1529" t="s">
        <v>125</v>
      </c>
      <c r="J134" s="1533"/>
      <c r="K134" s="340"/>
      <c r="L134" s="344" t="s">
        <v>126</v>
      </c>
      <c r="M134" s="358"/>
      <c r="N134" s="440"/>
    </row>
    <row r="135" spans="2:15" ht="15.75">
      <c r="B135" s="435"/>
      <c r="D135" s="343"/>
      <c r="E135" s="343"/>
      <c r="F135" s="343"/>
      <c r="G135" s="343"/>
      <c r="H135" s="358"/>
      <c r="I135" s="340"/>
      <c r="J135" s="395"/>
      <c r="K135" s="340"/>
      <c r="M135" s="358"/>
      <c r="N135" s="441"/>
      <c r="O135" s="442"/>
    </row>
    <row r="136" spans="2:15" ht="15.75">
      <c r="B136" s="435"/>
      <c r="C136" s="343"/>
      <c r="D136" s="443" t="s">
        <v>102</v>
      </c>
      <c r="E136" s="397" t="str">
        <f>E62</f>
        <v>Data Sources</v>
      </c>
      <c r="F136" s="398"/>
      <c r="G136" s="340"/>
      <c r="H136" s="358"/>
      <c r="I136" s="340"/>
      <c r="J136" s="343"/>
      <c r="K136" s="340"/>
      <c r="L136" s="397" t="str">
        <f>L62</f>
        <v>Total</v>
      </c>
      <c r="M136" s="333"/>
      <c r="N136" s="441"/>
      <c r="O136" s="442"/>
    </row>
    <row r="137" spans="2:15" ht="15.75">
      <c r="B137" s="435"/>
      <c r="C137" s="350"/>
      <c r="D137" s="400" t="s">
        <v>103</v>
      </c>
      <c r="E137" s="444" t="str">
        <f>E63</f>
        <v>(See "General Notes")</v>
      </c>
      <c r="F137" s="340"/>
      <c r="G137" s="444" t="str">
        <f>G63</f>
        <v>TO Total</v>
      </c>
      <c r="H137" s="445"/>
      <c r="I137" s="1531" t="str">
        <f>I63</f>
        <v>Allocator</v>
      </c>
      <c r="J137" s="1532"/>
      <c r="K137" s="402"/>
      <c r="L137" s="444" t="str">
        <f>L63</f>
        <v>Transmission</v>
      </c>
      <c r="M137" s="358"/>
      <c r="N137" s="441"/>
      <c r="O137" s="442"/>
    </row>
    <row r="138" spans="2:15" ht="15.75">
      <c r="B138" s="342" t="str">
        <f>B64</f>
        <v>Line</v>
      </c>
      <c r="D138" s="334"/>
      <c r="E138" s="340"/>
      <c r="F138" s="340"/>
      <c r="G138" s="400"/>
      <c r="H138" s="446"/>
      <c r="I138" s="443"/>
      <c r="K138" s="447"/>
      <c r="L138" s="400"/>
      <c r="M138" s="358"/>
      <c r="N138" s="333"/>
    </row>
    <row r="139" spans="2:15">
      <c r="B139" s="342" t="str">
        <f>B65</f>
        <v>No.</v>
      </c>
      <c r="C139" s="343"/>
      <c r="D139" s="334" t="s">
        <v>104</v>
      </c>
      <c r="E139" s="340"/>
      <c r="F139" s="340"/>
      <c r="G139" s="340"/>
      <c r="H139" s="358"/>
      <c r="I139" s="371"/>
      <c r="J139" s="340"/>
      <c r="K139" s="340"/>
      <c r="L139" s="340"/>
      <c r="M139" s="358"/>
      <c r="N139" s="333"/>
    </row>
    <row r="140" spans="2:15">
      <c r="B140" s="342">
        <f>+B125+1</f>
        <v>69</v>
      </c>
      <c r="C140" s="343"/>
      <c r="D140" s="334" t="s">
        <v>127</v>
      </c>
      <c r="E140" s="340" t="s">
        <v>10</v>
      </c>
      <c r="F140" s="340"/>
      <c r="G140" s="831">
        <v>948629660.636917</v>
      </c>
      <c r="H140" s="358"/>
      <c r="I140" s="371"/>
      <c r="J140" s="363"/>
      <c r="K140" s="340"/>
      <c r="L140" s="376"/>
      <c r="M140" s="358"/>
      <c r="N140" s="333"/>
    </row>
    <row r="141" spans="2:15">
      <c r="B141" s="342">
        <f>+B140+1</f>
        <v>70</v>
      </c>
      <c r="C141" s="343"/>
      <c r="D141" s="379" t="s">
        <v>131</v>
      </c>
      <c r="E141" s="340" t="s">
        <v>11</v>
      </c>
      <c r="F141" s="358"/>
      <c r="G141" s="831">
        <v>91596101.551553503</v>
      </c>
      <c r="H141" s="358"/>
      <c r="I141" s="371"/>
      <c r="J141" s="363"/>
      <c r="K141" s="340"/>
      <c r="L141" s="376"/>
      <c r="M141" s="358"/>
      <c r="N141" s="333"/>
    </row>
    <row r="142" spans="2:15">
      <c r="B142" s="342">
        <f t="shared" ref="B142:B147" si="6">+B141+1</f>
        <v>71</v>
      </c>
      <c r="C142" s="343"/>
      <c r="D142" s="379" t="s">
        <v>247</v>
      </c>
      <c r="E142" s="340" t="s">
        <v>203</v>
      </c>
      <c r="F142" s="358"/>
      <c r="G142" s="831">
        <v>56416235.6535028</v>
      </c>
      <c r="H142" s="358"/>
      <c r="I142" s="362"/>
      <c r="J142" s="363"/>
      <c r="K142" s="358"/>
      <c r="L142" s="376"/>
      <c r="M142" s="358"/>
      <c r="N142" s="333"/>
    </row>
    <row r="143" spans="2:15">
      <c r="B143" s="342">
        <f t="shared" si="6"/>
        <v>72</v>
      </c>
      <c r="C143" s="343"/>
      <c r="D143" s="379" t="s">
        <v>248</v>
      </c>
      <c r="E143" s="340" t="s">
        <v>418</v>
      </c>
      <c r="F143" s="358"/>
      <c r="G143" s="831">
        <v>5074900.0902399002</v>
      </c>
      <c r="H143" s="358"/>
      <c r="I143" s="362"/>
      <c r="J143" s="363"/>
      <c r="K143" s="358"/>
      <c r="L143" s="376"/>
      <c r="M143" s="358"/>
      <c r="N143" s="333"/>
    </row>
    <row r="144" spans="2:15" ht="15.75" thickBot="1">
      <c r="B144" s="342">
        <f t="shared" si="6"/>
        <v>73</v>
      </c>
      <c r="C144" s="343"/>
      <c r="D144" s="379" t="s">
        <v>136</v>
      </c>
      <c r="E144" s="340" t="s">
        <v>417</v>
      </c>
      <c r="F144" s="358"/>
      <c r="G144" s="832">
        <v>327661741.93061799</v>
      </c>
      <c r="H144" s="376"/>
      <c r="I144" s="383"/>
      <c r="J144" s="383"/>
      <c r="K144" s="345"/>
      <c r="L144" s="345"/>
      <c r="M144" s="353"/>
      <c r="N144" s="358"/>
      <c r="O144" s="340"/>
    </row>
    <row r="145" spans="2:15">
      <c r="B145" s="342">
        <f t="shared" si="6"/>
        <v>74</v>
      </c>
      <c r="C145" s="343"/>
      <c r="D145" s="379" t="s">
        <v>249</v>
      </c>
      <c r="E145" s="358" t="str">
        <f>"(sum lns "&amp;B140&amp;"  to "&amp;B144&amp;")"</f>
        <v>(sum lns 69  to 73)</v>
      </c>
      <c r="F145" s="358"/>
      <c r="G145" s="376">
        <f>SUM(G140:G144)</f>
        <v>1429378639.8628314</v>
      </c>
      <c r="H145" s="376"/>
      <c r="I145" s="383"/>
      <c r="J145" s="383"/>
      <c r="K145" s="345"/>
      <c r="L145" s="345"/>
      <c r="M145" s="353"/>
      <c r="N145" s="358"/>
      <c r="O145" s="340"/>
    </row>
    <row r="146" spans="2:15">
      <c r="B146" s="342">
        <f t="shared" si="6"/>
        <v>75</v>
      </c>
      <c r="C146" s="343"/>
      <c r="D146" s="379" t="s">
        <v>329</v>
      </c>
      <c r="E146" s="358" t="str">
        <f>"(Note G) (Worksheet F, ln "&amp;'WS F Misc Exp'!A33&amp;".C)"</f>
        <v>(Note G) (Worksheet F, ln 14.C)</v>
      </c>
      <c r="F146" s="358"/>
      <c r="G146" s="376">
        <f>'WS F Misc Exp'!D33</f>
        <v>6997949.2621129807</v>
      </c>
      <c r="H146" s="376"/>
      <c r="I146" s="383"/>
      <c r="J146" s="383"/>
      <c r="K146" s="345"/>
      <c r="L146" s="345"/>
      <c r="M146" s="353"/>
      <c r="N146" s="358"/>
      <c r="O146" s="340"/>
    </row>
    <row r="147" spans="2:15">
      <c r="B147" s="342">
        <f t="shared" si="6"/>
        <v>76</v>
      </c>
      <c r="C147" s="343"/>
      <c r="D147" s="379" t="s">
        <v>23</v>
      </c>
      <c r="E147" s="358" t="s">
        <v>101</v>
      </c>
      <c r="F147" s="358"/>
      <c r="G147" s="831">
        <v>290223594.87362999</v>
      </c>
      <c r="H147" s="376"/>
      <c r="I147" s="383"/>
      <c r="J147" s="383"/>
      <c r="K147" s="345"/>
      <c r="L147" s="345"/>
      <c r="M147" s="353"/>
      <c r="N147" s="358"/>
      <c r="O147" s="340"/>
    </row>
    <row r="148" spans="2:15" ht="15.75" thickBot="1">
      <c r="B148" s="342">
        <f>+B147+1</f>
        <v>77</v>
      </c>
      <c r="C148" s="368"/>
      <c r="D148" s="379" t="s">
        <v>333</v>
      </c>
      <c r="E148" s="358" t="s">
        <v>481</v>
      </c>
      <c r="F148" s="358"/>
      <c r="G148" s="412">
        <f>+'WS F Misc Exp'!D21</f>
        <v>0</v>
      </c>
      <c r="H148" s="376"/>
      <c r="I148" s="429"/>
      <c r="J148" s="429"/>
      <c r="K148" s="345"/>
      <c r="L148" s="345"/>
      <c r="M148" s="353"/>
      <c r="N148" s="358"/>
      <c r="O148" s="340"/>
    </row>
    <row r="149" spans="2:15">
      <c r="B149" s="342">
        <f>+B148+1</f>
        <v>78</v>
      </c>
      <c r="C149" s="343"/>
      <c r="D149" s="379" t="s">
        <v>385</v>
      </c>
      <c r="E149" s="340" t="str">
        <f>"(lns "&amp;B144&amp;" - "&amp;B146&amp;" - "&amp;B147&amp;" - "&amp;B148&amp;")"</f>
        <v>(lns 73 - 75 - 76 - 77)</v>
      </c>
      <c r="F149" s="379"/>
      <c r="G149" s="376">
        <f>G144-G146-G147-G148</f>
        <v>30440197.794875026</v>
      </c>
      <c r="H149" s="358"/>
      <c r="I149" s="371" t="s">
        <v>121</v>
      </c>
      <c r="J149" s="363">
        <f>L231</f>
        <v>0.96970237735835452</v>
      </c>
      <c r="K149" s="358"/>
      <c r="L149" s="376">
        <f>+J149*G149</f>
        <v>29517932.168948852</v>
      </c>
      <c r="M149" s="353"/>
      <c r="N149" s="358"/>
      <c r="O149" s="340"/>
    </row>
    <row r="150" spans="2:15">
      <c r="B150" s="342"/>
      <c r="C150" s="343"/>
      <c r="D150" s="379"/>
      <c r="E150" s="358"/>
      <c r="F150" s="358"/>
      <c r="G150" s="448"/>
      <c r="H150" s="376"/>
      <c r="I150" s="383"/>
      <c r="J150" s="383"/>
      <c r="K150" s="345"/>
      <c r="L150" s="345"/>
      <c r="M150" s="353"/>
      <c r="N150" s="358"/>
      <c r="O150" s="340"/>
    </row>
    <row r="151" spans="2:15">
      <c r="B151" s="342">
        <f>+B149+1</f>
        <v>79</v>
      </c>
      <c r="C151" s="343"/>
      <c r="D151" s="334" t="s">
        <v>105</v>
      </c>
      <c r="E151" s="358" t="s">
        <v>738</v>
      </c>
      <c r="F151" s="358"/>
      <c r="G151" s="831">
        <v>127467604.947127</v>
      </c>
      <c r="H151" s="376"/>
      <c r="I151" s="424"/>
      <c r="J151" s="424"/>
      <c r="K151" s="340"/>
      <c r="L151" s="423"/>
      <c r="M151" s="358"/>
      <c r="N151" s="358"/>
      <c r="O151" s="340"/>
    </row>
    <row r="152" spans="2:15">
      <c r="B152" s="342">
        <f t="shared" ref="B152:B165" si="7">+B151+1</f>
        <v>80</v>
      </c>
      <c r="C152" s="343"/>
      <c r="D152" s="379" t="s">
        <v>331</v>
      </c>
      <c r="E152" s="340" t="s">
        <v>419</v>
      </c>
      <c r="F152" s="340"/>
      <c r="G152" s="831">
        <v>2512999.3283444298</v>
      </c>
      <c r="H152" s="376"/>
      <c r="I152" s="424"/>
      <c r="J152" s="334"/>
      <c r="K152" s="340"/>
      <c r="L152" s="423"/>
      <c r="M152" s="427"/>
      <c r="N152" s="358"/>
      <c r="O152" s="340"/>
    </row>
    <row r="153" spans="2:15">
      <c r="B153" s="342">
        <f t="shared" si="7"/>
        <v>81</v>
      </c>
      <c r="C153" s="343"/>
      <c r="D153" s="1203" t="s">
        <v>843</v>
      </c>
      <c r="E153" s="358" t="str">
        <f>"PBOP Worksheet O Line "&amp;'WS O - PBOP'!A37&amp;" &amp; "&amp;'WS O - PBOP'!A39&amp;", (Note K)"</f>
        <v>PBOP Worksheet O Line 9 &amp; 10, (Note K)</v>
      </c>
      <c r="F153" s="340"/>
      <c r="G153" s="1204">
        <f>'WS O - PBOP'!F37+'WS O - PBOP'!F39</f>
        <v>-5640910.0600000005</v>
      </c>
      <c r="H153" s="376"/>
      <c r="I153" s="424"/>
      <c r="J153" s="334"/>
      <c r="K153" s="340"/>
      <c r="L153" s="423"/>
      <c r="M153" s="427"/>
      <c r="N153" s="358"/>
      <c r="O153" s="340"/>
    </row>
    <row r="154" spans="2:15">
      <c r="B154" s="342">
        <f t="shared" si="7"/>
        <v>82</v>
      </c>
      <c r="C154" s="343"/>
      <c r="D154" s="379" t="s">
        <v>844</v>
      </c>
      <c r="E154" s="358" t="str">
        <f>"PBOP Worksheet O  Line "&amp;'WS O - PBOP'!A41&amp;", (Note K)"</f>
        <v>PBOP Worksheet O  Line 11, (Note K)</v>
      </c>
      <c r="F154" s="340"/>
      <c r="G154" s="1204">
        <f>'WS O - PBOP'!F41</f>
        <v>0</v>
      </c>
      <c r="H154" s="376"/>
      <c r="I154" s="424"/>
      <c r="J154" s="334"/>
      <c r="K154" s="340"/>
      <c r="L154" s="423"/>
      <c r="M154" s="427"/>
      <c r="N154" s="358"/>
      <c r="O154" s="340"/>
    </row>
    <row r="155" spans="2:15">
      <c r="B155" s="342">
        <f t="shared" si="7"/>
        <v>83</v>
      </c>
      <c r="C155" s="343"/>
      <c r="D155" s="379" t="s">
        <v>845</v>
      </c>
      <c r="E155" s="358" t="str">
        <f>"PBOP Worksheet O Line "&amp;'WS O - PBOP'!A45&amp;", (Note K)"</f>
        <v>PBOP Worksheet O Line 13, (Note K)</v>
      </c>
      <c r="F155" s="340"/>
      <c r="G155" s="1204">
        <f>'WS O - PBOP'!F45</f>
        <v>-2751091.2327116085</v>
      </c>
      <c r="H155" s="376"/>
      <c r="I155" s="424"/>
      <c r="J155" s="334"/>
      <c r="K155" s="340"/>
      <c r="L155" s="423"/>
      <c r="M155" s="427"/>
      <c r="N155" s="358"/>
      <c r="O155" s="340"/>
    </row>
    <row r="156" spans="2:15">
      <c r="B156" s="342">
        <f t="shared" si="7"/>
        <v>84</v>
      </c>
      <c r="C156" s="343"/>
      <c r="D156" s="334" t="s">
        <v>330</v>
      </c>
      <c r="E156" s="340" t="s">
        <v>97</v>
      </c>
      <c r="F156" s="358"/>
      <c r="G156" s="831">
        <f>'WS F Misc Exp'!D41</f>
        <v>19259888.3072116</v>
      </c>
      <c r="H156" s="376"/>
      <c r="I156" s="424"/>
      <c r="J156" s="449"/>
      <c r="K156" s="340"/>
      <c r="L156" s="423"/>
      <c r="M156" s="358"/>
      <c r="N156" s="358"/>
      <c r="O156" s="340"/>
    </row>
    <row r="157" spans="2:15">
      <c r="B157" s="342">
        <f t="shared" si="7"/>
        <v>85</v>
      </c>
      <c r="C157" s="343"/>
      <c r="D157" s="379" t="s">
        <v>109</v>
      </c>
      <c r="E157" s="340" t="s">
        <v>98</v>
      </c>
      <c r="F157" s="358"/>
      <c r="G157" s="831">
        <f>'WS F Misc Exp'!D61</f>
        <v>143288.77108369904</v>
      </c>
      <c r="H157" s="376"/>
      <c r="I157" s="424"/>
      <c r="J157" s="424"/>
      <c r="K157" s="340"/>
      <c r="L157" s="423"/>
      <c r="M157" s="358"/>
      <c r="N157" s="358"/>
      <c r="O157" s="340"/>
    </row>
    <row r="158" spans="2:15" ht="15.75" thickBot="1">
      <c r="B158" s="342">
        <f t="shared" si="7"/>
        <v>86</v>
      </c>
      <c r="C158" s="343"/>
      <c r="D158" s="379" t="s">
        <v>332</v>
      </c>
      <c r="E158" s="340" t="s">
        <v>99</v>
      </c>
      <c r="F158" s="358"/>
      <c r="G158" s="832">
        <f>'WS F Misc Exp'!D72</f>
        <v>7503588.1889370698</v>
      </c>
      <c r="H158" s="376"/>
      <c r="I158" s="424"/>
      <c r="J158" s="424"/>
      <c r="K158" s="340"/>
      <c r="L158" s="423"/>
      <c r="M158" s="358"/>
      <c r="N158" s="358"/>
      <c r="O158" s="340"/>
    </row>
    <row r="159" spans="2:15">
      <c r="B159" s="342">
        <f t="shared" si="7"/>
        <v>87</v>
      </c>
      <c r="C159" s="343"/>
      <c r="D159" s="334" t="s">
        <v>110</v>
      </c>
      <c r="E159" s="358" t="str">
        <f>"(ln "&amp;B151&amp;" - sum ln "&amp;B152&amp;"  to ln "&amp;B158&amp;")"</f>
        <v>(ln 79 - sum ln 80  to ln 86)</v>
      </c>
      <c r="F159" s="358"/>
      <c r="G159" s="376">
        <f>G151-SUM(G152:G158)</f>
        <v>106439841.64426181</v>
      </c>
      <c r="H159" s="376"/>
      <c r="I159" s="371" t="s">
        <v>133</v>
      </c>
      <c r="J159" s="363">
        <f>L241</f>
        <v>4.9506986027220215E-2</v>
      </c>
      <c r="K159" s="340"/>
      <c r="L159" s="423">
        <f>+J159*G159</f>
        <v>5269515.7530220021</v>
      </c>
      <c r="M159" s="358"/>
      <c r="N159" s="358"/>
      <c r="O159" s="340"/>
    </row>
    <row r="160" spans="2:15">
      <c r="B160" s="342">
        <f t="shared" si="7"/>
        <v>88</v>
      </c>
      <c r="C160" s="368"/>
      <c r="D160" s="379" t="s">
        <v>198</v>
      </c>
      <c r="E160" s="358" t="str">
        <f>"(ln "&amp;B152&amp;")"</f>
        <v>(ln 80)</v>
      </c>
      <c r="F160" s="358"/>
      <c r="G160" s="376">
        <f>+G152</f>
        <v>2512999.3283444298</v>
      </c>
      <c r="H160" s="376"/>
      <c r="I160" s="371" t="s">
        <v>747</v>
      </c>
      <c r="J160" s="363">
        <f>J75</f>
        <v>0.17063975863661229</v>
      </c>
      <c r="K160" s="358"/>
      <c r="L160" s="376">
        <f>+J160*G160</f>
        <v>428817.59884266229</v>
      </c>
      <c r="M160" s="358"/>
      <c r="N160" s="358"/>
      <c r="O160" s="340"/>
    </row>
    <row r="161" spans="2:15">
      <c r="B161" s="342">
        <f t="shared" si="7"/>
        <v>89</v>
      </c>
      <c r="C161" s="343"/>
      <c r="D161" s="379" t="s">
        <v>231</v>
      </c>
      <c r="E161" s="358" t="str">
        <f>"Worksheet F ln "&amp;'WS F Misc Exp'!A41&amp;".(E) (Note L)"</f>
        <v>Worksheet F ln 20.(E) (Note L)</v>
      </c>
      <c r="F161" s="358"/>
      <c r="G161" s="376">
        <f>+'WS F Misc Exp'!F41</f>
        <v>-29892.921585306016</v>
      </c>
      <c r="H161" s="376"/>
      <c r="I161" s="371" t="s">
        <v>121</v>
      </c>
      <c r="J161" s="363">
        <f>L231</f>
        <v>0.96970237735835452</v>
      </c>
      <c r="K161" s="340"/>
      <c r="L161" s="423">
        <f>J161*G161</f>
        <v>-28987.237127458116</v>
      </c>
      <c r="M161" s="358"/>
      <c r="N161" s="358"/>
      <c r="O161" s="340"/>
    </row>
    <row r="162" spans="2:15">
      <c r="B162" s="342">
        <f t="shared" si="7"/>
        <v>90</v>
      </c>
      <c r="C162" s="343"/>
      <c r="D162" s="379" t="s">
        <v>241</v>
      </c>
      <c r="E162" s="358" t="str">
        <f>"Worksheet F ln "&amp;'WS F Misc Exp'!A61&amp;".(E) (Note L)"</f>
        <v>Worksheet F ln 37.(E) (Note L)</v>
      </c>
      <c r="F162" s="358"/>
      <c r="G162" s="361">
        <f>+'WS F Misc Exp'!F61</f>
        <v>2996.9701413386474</v>
      </c>
      <c r="H162" s="358"/>
      <c r="I162" s="362" t="s">
        <v>121</v>
      </c>
      <c r="J162" s="363">
        <f>L231</f>
        <v>0.96970237735835452</v>
      </c>
      <c r="K162" s="340"/>
      <c r="L162" s="423">
        <f>+J162*G162</f>
        <v>2906.1690709280902</v>
      </c>
      <c r="M162" s="358"/>
      <c r="N162" s="358"/>
      <c r="O162" s="340"/>
    </row>
    <row r="163" spans="2:15">
      <c r="B163" s="342">
        <f t="shared" si="7"/>
        <v>91</v>
      </c>
      <c r="C163" s="343"/>
      <c r="D163" s="379" t="s">
        <v>242</v>
      </c>
      <c r="E163" s="358" t="str">
        <f>"Worksheet F ln "&amp;'WS F Misc Exp'!A72&amp;".(E) (Note L)"</f>
        <v>Worksheet F ln 45.(E) (Note L)</v>
      </c>
      <c r="F163" s="358"/>
      <c r="G163" s="361">
        <f>+'WS F Misc Exp'!F72</f>
        <v>813632.72500360943</v>
      </c>
      <c r="H163" s="450"/>
      <c r="I163" s="362" t="s">
        <v>130</v>
      </c>
      <c r="J163" s="363">
        <v>1</v>
      </c>
      <c r="K163" s="340"/>
      <c r="L163" s="451">
        <f>+J163*G163</f>
        <v>813632.72500360943</v>
      </c>
      <c r="M163" s="358"/>
      <c r="N163" s="358"/>
      <c r="O163" s="340"/>
    </row>
    <row r="164" spans="2:15" ht="15.75" thickBot="1">
      <c r="B164" s="342">
        <f t="shared" si="7"/>
        <v>92</v>
      </c>
      <c r="C164" s="343"/>
      <c r="D164" s="379" t="s">
        <v>846</v>
      </c>
      <c r="E164" s="358" t="s">
        <v>848</v>
      </c>
      <c r="F164" s="358"/>
      <c r="G164" s="412">
        <f>'WS O - PBOP'!E23</f>
        <v>13745885</v>
      </c>
      <c r="H164" s="450"/>
      <c r="I164" s="371" t="s">
        <v>133</v>
      </c>
      <c r="J164" s="363">
        <f>L241</f>
        <v>4.9506986027220215E-2</v>
      </c>
      <c r="K164" s="340"/>
      <c r="L164" s="433">
        <f>+J164*G164</f>
        <v>680517.33662677591</v>
      </c>
      <c r="M164" s="358"/>
      <c r="N164" s="358"/>
      <c r="O164" s="340"/>
    </row>
    <row r="165" spans="2:15">
      <c r="B165" s="342">
        <f t="shared" si="7"/>
        <v>93</v>
      </c>
      <c r="C165" s="343"/>
      <c r="D165" s="334" t="s">
        <v>111</v>
      </c>
      <c r="E165" s="358" t="str">
        <f>"(sum lns "&amp;B159&amp;"  to "&amp;B164&amp;")"</f>
        <v>(sum lns 87  to 92)</v>
      </c>
      <c r="F165" s="358"/>
      <c r="G165" s="423">
        <f>SUM(G159:G164)</f>
        <v>123485462.74616589</v>
      </c>
      <c r="H165" s="376"/>
      <c r="I165" s="371"/>
      <c r="J165" s="424"/>
      <c r="K165" s="340"/>
      <c r="L165" s="423">
        <f>SUM(L159:L164)</f>
        <v>7166402.3454385195</v>
      </c>
      <c r="M165" s="358"/>
      <c r="N165" s="376"/>
      <c r="O165" s="340"/>
    </row>
    <row r="166" spans="2:15" ht="15.75" thickBot="1">
      <c r="B166" s="342"/>
      <c r="C166" s="343"/>
      <c r="D166" s="379"/>
      <c r="E166" s="358"/>
      <c r="F166" s="358"/>
      <c r="G166" s="412"/>
      <c r="H166" s="358"/>
      <c r="I166" s="371"/>
      <c r="J166" s="424"/>
      <c r="K166" s="340"/>
      <c r="L166" s="433"/>
      <c r="M166" s="358"/>
      <c r="N166" s="358"/>
      <c r="O166" s="340"/>
    </row>
    <row r="167" spans="2:15">
      <c r="B167" s="342">
        <f>+B165+1</f>
        <v>94</v>
      </c>
      <c r="C167" s="368"/>
      <c r="D167" s="379" t="s">
        <v>415</v>
      </c>
      <c r="E167" s="358" t="str">
        <f>"(ln "&amp;B149&amp;" + ln "&amp;B165&amp;")"</f>
        <v>(ln 78 + ln 93)</v>
      </c>
      <c r="F167" s="358"/>
      <c r="G167" s="376">
        <f>+G149+G165</f>
        <v>153925660.5410409</v>
      </c>
      <c r="H167" s="376"/>
      <c r="I167" s="362"/>
      <c r="J167" s="358"/>
      <c r="K167" s="358"/>
      <c r="L167" s="376">
        <f>L149+L165</f>
        <v>36684334.514387369</v>
      </c>
      <c r="M167" s="358"/>
      <c r="N167" s="358"/>
      <c r="O167" s="340"/>
    </row>
    <row r="168" spans="2:15" ht="15.75" thickBot="1">
      <c r="B168" s="342">
        <f>+B167+1</f>
        <v>95</v>
      </c>
      <c r="C168" s="368"/>
      <c r="D168" s="379" t="s">
        <v>487</v>
      </c>
      <c r="E168" s="379"/>
      <c r="F168" s="358"/>
      <c r="G168" s="832">
        <v>0</v>
      </c>
      <c r="H168" s="376"/>
      <c r="I168" s="371" t="s">
        <v>130</v>
      </c>
      <c r="J168" s="363">
        <v>1</v>
      </c>
      <c r="K168" s="358"/>
      <c r="L168" s="433">
        <f>J168*G168</f>
        <v>0</v>
      </c>
      <c r="M168" s="358"/>
      <c r="N168" s="358"/>
      <c r="O168" s="340"/>
    </row>
    <row r="169" spans="2:15">
      <c r="B169" s="342">
        <f>+B168+1</f>
        <v>96</v>
      </c>
      <c r="C169" s="343"/>
      <c r="D169" s="379" t="s">
        <v>112</v>
      </c>
      <c r="E169" s="358" t="str">
        <f>"(ln "&amp;B167&amp;" + ln "&amp;B168&amp;")"</f>
        <v>(ln 94 + ln 95)</v>
      </c>
      <c r="F169" s="358"/>
      <c r="G169" s="376">
        <f>+G167+G168</f>
        <v>153925660.5410409</v>
      </c>
      <c r="H169" s="376"/>
      <c r="I169" s="362"/>
      <c r="J169" s="358"/>
      <c r="K169" s="358"/>
      <c r="L169" s="376">
        <f>+L167+L168</f>
        <v>36684334.514387369</v>
      </c>
      <c r="M169" s="358"/>
      <c r="N169" s="358"/>
      <c r="O169" s="340"/>
    </row>
    <row r="170" spans="2:15">
      <c r="B170" s="342"/>
      <c r="C170" s="343"/>
      <c r="D170" s="379"/>
      <c r="E170" s="340"/>
      <c r="F170" s="340"/>
      <c r="G170" s="423"/>
      <c r="H170" s="358"/>
      <c r="I170" s="340"/>
      <c r="J170" s="340"/>
      <c r="K170" s="340"/>
      <c r="L170" s="423"/>
      <c r="M170" s="358"/>
      <c r="N170" s="358"/>
      <c r="O170" s="340"/>
    </row>
    <row r="171" spans="2:15">
      <c r="B171" s="342">
        <f>+B169+1</f>
        <v>97</v>
      </c>
      <c r="C171" s="343"/>
      <c r="D171" s="404" t="s">
        <v>114</v>
      </c>
      <c r="E171" s="362"/>
      <c r="F171" s="362"/>
      <c r="G171" s="423"/>
      <c r="H171" s="358"/>
      <c r="I171" s="371"/>
      <c r="J171" s="340"/>
      <c r="K171" s="340"/>
      <c r="L171" s="423"/>
      <c r="M171" s="358"/>
      <c r="N171" s="358"/>
      <c r="O171" s="340"/>
    </row>
    <row r="172" spans="2:15">
      <c r="B172" s="342">
        <f t="shared" ref="B172:B177" si="8">+B171+1</f>
        <v>98</v>
      </c>
      <c r="C172" s="343"/>
      <c r="D172" s="334" t="s">
        <v>127</v>
      </c>
      <c r="E172" s="357" t="s">
        <v>425</v>
      </c>
      <c r="F172" s="362"/>
      <c r="G172" s="831">
        <v>409841385.01227427</v>
      </c>
      <c r="H172" s="358"/>
      <c r="I172" s="371" t="s">
        <v>128</v>
      </c>
      <c r="J172" s="363">
        <v>0</v>
      </c>
      <c r="K172" s="340"/>
      <c r="L172" s="376">
        <f>+G172*J172</f>
        <v>0</v>
      </c>
      <c r="M172" s="358"/>
      <c r="N172" s="340"/>
      <c r="O172" s="340"/>
    </row>
    <row r="173" spans="2:15">
      <c r="B173" s="342">
        <f t="shared" si="8"/>
        <v>99</v>
      </c>
      <c r="C173" s="343"/>
      <c r="D173" s="379" t="s">
        <v>131</v>
      </c>
      <c r="E173" s="357" t="s">
        <v>424</v>
      </c>
      <c r="F173" s="362"/>
      <c r="G173" s="831">
        <v>105172878.12730899</v>
      </c>
      <c r="H173" s="358"/>
      <c r="I173" s="371" t="s">
        <v>128</v>
      </c>
      <c r="J173" s="363">
        <v>0</v>
      </c>
      <c r="K173" s="340"/>
      <c r="L173" s="376">
        <f>+G173*J173</f>
        <v>0</v>
      </c>
      <c r="M173" s="358"/>
      <c r="N173" s="358"/>
      <c r="O173" s="340"/>
    </row>
    <row r="174" spans="2:15">
      <c r="B174" s="342">
        <f t="shared" si="8"/>
        <v>100</v>
      </c>
      <c r="C174" s="343"/>
      <c r="D174" s="406" t="str">
        <f>+D144</f>
        <v xml:space="preserve">  Transmission </v>
      </c>
      <c r="E174" s="357" t="s">
        <v>420</v>
      </c>
      <c r="F174" s="452"/>
      <c r="G174" s="831">
        <v>52417036.158856302</v>
      </c>
      <c r="H174" s="453"/>
      <c r="I174" s="454" t="s">
        <v>26</v>
      </c>
      <c r="J174" s="363">
        <f>J80</f>
        <v>0.96553691422743704</v>
      </c>
      <c r="K174" s="455"/>
      <c r="L174" s="456">
        <f>J174*G174</f>
        <v>50610583.345770106</v>
      </c>
      <c r="M174" s="409"/>
      <c r="N174" s="358"/>
      <c r="O174" s="340"/>
    </row>
    <row r="175" spans="2:15">
      <c r="B175" s="342">
        <f>+B174+1</f>
        <v>101</v>
      </c>
      <c r="C175" s="343"/>
      <c r="D175" s="404" t="s">
        <v>137</v>
      </c>
      <c r="E175" s="452" t="s">
        <v>421</v>
      </c>
      <c r="F175" s="340"/>
      <c r="G175" s="831">
        <v>12917558.456730375</v>
      </c>
      <c r="H175" s="376"/>
      <c r="I175" s="371" t="s">
        <v>133</v>
      </c>
      <c r="J175" s="363">
        <f>L241</f>
        <v>4.9506986027220215E-2</v>
      </c>
      <c r="K175" s="340"/>
      <c r="L175" s="423">
        <f>+J175*G175</f>
        <v>639509.38602315099</v>
      </c>
      <c r="M175" s="358"/>
      <c r="N175" s="358"/>
      <c r="O175" s="340"/>
    </row>
    <row r="176" spans="2:15" ht="15.75" thickBot="1">
      <c r="B176" s="342">
        <f t="shared" si="8"/>
        <v>102</v>
      </c>
      <c r="C176" s="343"/>
      <c r="D176" s="404" t="s">
        <v>138</v>
      </c>
      <c r="E176" s="407" t="s">
        <v>422</v>
      </c>
      <c r="F176" s="358"/>
      <c r="G176" s="832">
        <v>48391390.821663</v>
      </c>
      <c r="H176" s="376"/>
      <c r="I176" s="371" t="s">
        <v>133</v>
      </c>
      <c r="J176" s="363">
        <f>L241</f>
        <v>4.9506986027220215E-2</v>
      </c>
      <c r="K176" s="340"/>
      <c r="L176" s="433">
        <f>+J176*G176</f>
        <v>2395711.9092458226</v>
      </c>
      <c r="M176" s="358"/>
      <c r="N176" s="358"/>
      <c r="O176" s="340"/>
    </row>
    <row r="177" spans="2:15">
      <c r="B177" s="342">
        <f t="shared" si="8"/>
        <v>103</v>
      </c>
      <c r="C177" s="343"/>
      <c r="D177" s="404" t="s">
        <v>302</v>
      </c>
      <c r="E177" s="1526" t="str">
        <f>"(Ln "&amp;B172&amp;"+"&amp;B173&amp;"+
"&amp;B174&amp;"+"&amp;B175&amp;"+"&amp;B176&amp;")"</f>
        <v>(Ln 98+99+
100+101+102)</v>
      </c>
      <c r="F177" s="340"/>
      <c r="G177" s="376">
        <f>+G172+G173+G174+G175+G176</f>
        <v>628740248.57683289</v>
      </c>
      <c r="H177" s="358"/>
      <c r="I177" s="371"/>
      <c r="J177" s="340"/>
      <c r="K177" s="340"/>
      <c r="L177" s="376">
        <f>+L172+L173+L174+L175+L176</f>
        <v>53645804.641039073</v>
      </c>
      <c r="M177" s="358"/>
      <c r="N177" s="358"/>
      <c r="O177" s="340"/>
    </row>
    <row r="178" spans="2:15">
      <c r="B178" s="342"/>
      <c r="C178" s="343"/>
      <c r="D178" s="404"/>
      <c r="E178" s="1527"/>
      <c r="F178" s="340"/>
      <c r="G178" s="423"/>
      <c r="H178" s="358"/>
      <c r="I178" s="371"/>
      <c r="J178" s="340"/>
      <c r="K178" s="340"/>
      <c r="L178" s="423"/>
      <c r="M178" s="358"/>
      <c r="N178" s="358"/>
      <c r="O178" s="340"/>
    </row>
    <row r="179" spans="2:15">
      <c r="B179" s="342">
        <f>+B177+1</f>
        <v>104</v>
      </c>
      <c r="C179" s="343"/>
      <c r="D179" s="404" t="s">
        <v>33</v>
      </c>
      <c r="E179" s="333" t="s">
        <v>423</v>
      </c>
      <c r="G179" s="423"/>
      <c r="H179" s="358"/>
      <c r="I179" s="371"/>
      <c r="J179" s="340"/>
      <c r="K179" s="340"/>
      <c r="L179" s="423"/>
      <c r="M179" s="358"/>
      <c r="N179" s="436"/>
      <c r="O179" s="340"/>
    </row>
    <row r="180" spans="2:15">
      <c r="B180" s="342">
        <f t="shared" ref="B180:B185" si="9">+B179+1</f>
        <v>105</v>
      </c>
      <c r="C180" s="343"/>
      <c r="D180" s="404" t="s">
        <v>139</v>
      </c>
      <c r="G180" s="423"/>
      <c r="H180" s="358"/>
      <c r="I180" s="371"/>
      <c r="K180" s="340"/>
      <c r="L180" s="423"/>
      <c r="M180" s="358"/>
      <c r="N180" s="358"/>
      <c r="O180" s="340"/>
    </row>
    <row r="181" spans="2:15">
      <c r="B181" s="342">
        <f t="shared" si="9"/>
        <v>106</v>
      </c>
      <c r="C181" s="343"/>
      <c r="D181" s="404" t="s">
        <v>140</v>
      </c>
      <c r="E181" s="358" t="str">
        <f>"Worksheet H ln "&amp;'WS H Other Taxes'!A42&amp;"."&amp;'WS H Other Taxes'!I10&amp;""</f>
        <v>Worksheet H ln 23.(D)</v>
      </c>
      <c r="F181" s="340"/>
      <c r="G181" s="376">
        <f>+'WS H Other Taxes'!I42</f>
        <v>14243162.214394612</v>
      </c>
      <c r="H181" s="376"/>
      <c r="I181" s="371" t="s">
        <v>133</v>
      </c>
      <c r="J181" s="363">
        <f>L241</f>
        <v>4.9506986027220215E-2</v>
      </c>
      <c r="K181" s="340"/>
      <c r="L181" s="423">
        <f>+J181*G181</f>
        <v>705136.03273146495</v>
      </c>
      <c r="M181" s="428"/>
      <c r="N181" s="358"/>
      <c r="O181" s="340"/>
    </row>
    <row r="182" spans="2:15">
      <c r="B182" s="342">
        <f t="shared" si="9"/>
        <v>107</v>
      </c>
      <c r="C182" s="343"/>
      <c r="D182" s="404" t="s">
        <v>141</v>
      </c>
      <c r="E182" s="358" t="s">
        <v>115</v>
      </c>
      <c r="F182" s="340"/>
      <c r="G182" s="376"/>
      <c r="H182" s="376"/>
      <c r="I182" s="371"/>
      <c r="K182" s="340"/>
      <c r="L182" s="423"/>
      <c r="M182" s="358"/>
      <c r="N182" s="358"/>
      <c r="O182" s="340"/>
    </row>
    <row r="183" spans="2:15">
      <c r="B183" s="342">
        <f t="shared" si="9"/>
        <v>108</v>
      </c>
      <c r="C183" s="368"/>
      <c r="D183" s="411" t="s">
        <v>142</v>
      </c>
      <c r="E183" s="358" t="str">
        <f>"Worksheet H ln "&amp;'WS H Other Taxes'!A42&amp;"."&amp;'WS H Other Taxes'!G10&amp;""</f>
        <v>Worksheet H ln 23.(C)</v>
      </c>
      <c r="F183" s="358"/>
      <c r="G183" s="376">
        <f>+'WS H Other Taxes'!G42</f>
        <v>70990855.899999976</v>
      </c>
      <c r="H183" s="376"/>
      <c r="I183" s="362" t="s">
        <v>130</v>
      </c>
      <c r="J183" s="363"/>
      <c r="K183" s="358"/>
      <c r="L183" s="436">
        <f>'WS H-1-Detail of Tax Amts'!I25</f>
        <v>12396552.78903106</v>
      </c>
      <c r="M183" s="457"/>
      <c r="N183" s="436"/>
      <c r="O183" s="358"/>
    </row>
    <row r="184" spans="2:15">
      <c r="B184" s="342">
        <f t="shared" si="9"/>
        <v>109</v>
      </c>
      <c r="C184" s="343"/>
      <c r="D184" s="404" t="s">
        <v>201</v>
      </c>
      <c r="E184" s="358" t="str">
        <f>"Worksheet H ln "&amp;'WS H Other Taxes'!A42&amp;"."&amp;'WS H Other Taxes'!M10&amp;""</f>
        <v>Worksheet H ln 23.(F)</v>
      </c>
      <c r="F184" s="340"/>
      <c r="G184" s="376">
        <f>+'WS H Other Taxes'!M42</f>
        <v>4486223.9999999898</v>
      </c>
      <c r="H184" s="429"/>
      <c r="I184" s="371" t="s">
        <v>128</v>
      </c>
      <c r="J184" s="363">
        <v>0</v>
      </c>
      <c r="K184" s="340"/>
      <c r="L184" s="423">
        <f>+J184*G184</f>
        <v>0</v>
      </c>
      <c r="M184" s="358"/>
      <c r="N184" s="358"/>
      <c r="O184" s="340"/>
    </row>
    <row r="185" spans="2:15" ht="15.75" thickBot="1">
      <c r="B185" s="342">
        <f t="shared" si="9"/>
        <v>110</v>
      </c>
      <c r="C185" s="343"/>
      <c r="D185" s="404" t="s">
        <v>143</v>
      </c>
      <c r="E185" s="358" t="str">
        <f>"Worksheet H ln "&amp;'WS H Other Taxes'!A42&amp;"."&amp;'WS H Other Taxes'!K10&amp;""</f>
        <v>Worksheet H ln 23.(E)</v>
      </c>
      <c r="F185" s="340"/>
      <c r="G185" s="412">
        <f>+'WS H Other Taxes'!K42</f>
        <v>0</v>
      </c>
      <c r="H185" s="429"/>
      <c r="I185" s="371" t="s">
        <v>747</v>
      </c>
      <c r="J185" s="363">
        <f>J75</f>
        <v>0.17063975863661229</v>
      </c>
      <c r="K185" s="340"/>
      <c r="L185" s="433">
        <f>+J185*G185</f>
        <v>0</v>
      </c>
      <c r="M185" s="358"/>
      <c r="N185" s="358"/>
      <c r="O185" s="340"/>
    </row>
    <row r="186" spans="2:15">
      <c r="B186" s="342">
        <f>+B185+1</f>
        <v>111</v>
      </c>
      <c r="C186" s="343"/>
      <c r="D186" s="404" t="s">
        <v>34</v>
      </c>
      <c r="E186" s="370" t="str">
        <f>"(sum lns "&amp;B181&amp;" to "&amp;B185&amp;")"</f>
        <v>(sum lns 106 to 110)</v>
      </c>
      <c r="F186" s="340"/>
      <c r="G186" s="376">
        <f>SUM(G181:G185)</f>
        <v>89720242.114394575</v>
      </c>
      <c r="H186" s="358"/>
      <c r="I186" s="371"/>
      <c r="J186" s="458"/>
      <c r="K186" s="340"/>
      <c r="L186" s="423">
        <f>SUM(L181:L185)</f>
        <v>13101688.821762525</v>
      </c>
      <c r="M186" s="358"/>
      <c r="N186" s="358"/>
      <c r="O186" s="340"/>
    </row>
    <row r="187" spans="2:15">
      <c r="B187" s="342"/>
      <c r="C187" s="343"/>
      <c r="D187" s="404"/>
      <c r="E187" s="340"/>
      <c r="F187" s="340"/>
      <c r="G187" s="340"/>
      <c r="H187" s="358"/>
      <c r="I187" s="371"/>
      <c r="J187" s="458"/>
      <c r="K187" s="340"/>
      <c r="L187" s="340"/>
      <c r="M187" s="426"/>
      <c r="N187" s="358"/>
      <c r="O187" s="340"/>
    </row>
    <row r="188" spans="2:15">
      <c r="B188" s="342">
        <f>+B186+1</f>
        <v>112</v>
      </c>
      <c r="C188" s="343"/>
      <c r="D188" s="404" t="s">
        <v>338</v>
      </c>
      <c r="E188" s="358" t="s">
        <v>426</v>
      </c>
      <c r="F188" s="459"/>
      <c r="G188" s="340"/>
      <c r="H188" s="383"/>
      <c r="I188" s="437"/>
      <c r="K188" s="340"/>
      <c r="L188" s="460"/>
      <c r="M188" s="358"/>
      <c r="N188" s="358"/>
      <c r="O188" s="340"/>
    </row>
    <row r="189" spans="2:15">
      <c r="B189" s="342">
        <f t="shared" ref="B189:B196" si="10">+B188+1</f>
        <v>113</v>
      </c>
      <c r="C189" s="343"/>
      <c r="D189" s="461" t="s">
        <v>339</v>
      </c>
      <c r="E189" s="340"/>
      <c r="F189" s="462"/>
      <c r="G189" s="463">
        <f>IF(F339&gt;0,1-(((1-F340)*(1-F339))/(1-F340*F339*F341)),0)</f>
        <v>0.24962955999999992</v>
      </c>
      <c r="H189" s="464"/>
      <c r="I189" s="464"/>
      <c r="K189" s="465"/>
      <c r="L189" s="460"/>
      <c r="M189" s="358"/>
      <c r="N189" s="358"/>
      <c r="O189" s="340"/>
    </row>
    <row r="190" spans="2:15">
      <c r="B190" s="342">
        <f t="shared" si="10"/>
        <v>114</v>
      </c>
      <c r="C190" s="343"/>
      <c r="D190" s="366" t="s">
        <v>340</v>
      </c>
      <c r="E190" s="340"/>
      <c r="F190" s="462"/>
      <c r="G190" s="463">
        <f>IF(L255&gt;0,($G189/(1-$G189))*(1-$L255/$L258),0)</f>
        <v>0.24330222329224549</v>
      </c>
      <c r="H190" s="464"/>
      <c r="I190" s="464"/>
      <c r="K190" s="465"/>
      <c r="L190" s="460"/>
      <c r="M190" s="358"/>
      <c r="N190" s="358"/>
      <c r="O190" s="340"/>
    </row>
    <row r="191" spans="2:15">
      <c r="B191" s="342">
        <f t="shared" si="10"/>
        <v>115</v>
      </c>
      <c r="C191" s="343"/>
      <c r="D191" s="411" t="str">
        <f>"       where WCLTD=(ln "&amp;B255&amp;") and WACC = (ln "&amp;B258&amp;")"</f>
        <v xml:space="preserve">       where WCLTD=(ln 154) and WACC = (ln 157)</v>
      </c>
      <c r="E191" s="358"/>
      <c r="F191" s="466"/>
      <c r="G191" s="340"/>
      <c r="H191" s="464"/>
      <c r="I191" s="464"/>
      <c r="J191" s="467"/>
      <c r="K191" s="465"/>
      <c r="L191" s="468"/>
      <c r="M191" s="358"/>
      <c r="N191" s="358"/>
      <c r="O191" s="340"/>
    </row>
    <row r="192" spans="2:15">
      <c r="B192" s="342">
        <f t="shared" si="10"/>
        <v>116</v>
      </c>
      <c r="C192" s="343"/>
      <c r="D192" s="404" t="s">
        <v>429</v>
      </c>
      <c r="E192" s="469"/>
      <c r="F192" s="462"/>
      <c r="G192" s="340"/>
      <c r="H192" s="383"/>
      <c r="I192" s="437"/>
      <c r="J192" s="467"/>
      <c r="K192" s="465"/>
      <c r="L192" s="460"/>
      <c r="M192" s="358"/>
      <c r="N192" s="358"/>
      <c r="O192" s="340"/>
    </row>
    <row r="193" spans="2:15">
      <c r="B193" s="342">
        <f t="shared" si="10"/>
        <v>117</v>
      </c>
      <c r="C193" s="343"/>
      <c r="D193" s="470" t="str">
        <f>"      GRCF=1 / (1 - T)  = (from ln "&amp;B189&amp;")"</f>
        <v xml:space="preserve">      GRCF=1 / (1 - T)  = (from ln 113)</v>
      </c>
      <c r="E193" s="459"/>
      <c r="F193" s="459"/>
      <c r="G193" s="471">
        <f>IF(G189&gt;0,1/(1-G189),0)</f>
        <v>1.3326750984487075</v>
      </c>
      <c r="H193" s="383"/>
      <c r="I193" s="388"/>
      <c r="J193" s="472"/>
      <c r="K193" s="473"/>
      <c r="L193" s="474"/>
      <c r="M193" s="358"/>
      <c r="N193" s="358"/>
      <c r="O193" s="340"/>
    </row>
    <row r="194" spans="2:15">
      <c r="B194" s="342">
        <f t="shared" si="10"/>
        <v>118</v>
      </c>
      <c r="C194" s="343"/>
      <c r="D194" s="404" t="s">
        <v>341</v>
      </c>
      <c r="E194" s="424" t="s">
        <v>505</v>
      </c>
      <c r="F194" s="459"/>
      <c r="G194" s="831">
        <v>1477199.99999999</v>
      </c>
      <c r="H194" s="383"/>
      <c r="I194" s="388"/>
      <c r="J194" s="475"/>
      <c r="K194" s="473"/>
      <c r="L194" s="460"/>
      <c r="M194" s="362"/>
      <c r="N194" s="358"/>
      <c r="O194" s="340"/>
    </row>
    <row r="195" spans="2:15">
      <c r="B195" s="342">
        <f t="shared" si="10"/>
        <v>119</v>
      </c>
      <c r="C195" s="343"/>
      <c r="D195" s="366" t="s">
        <v>534</v>
      </c>
      <c r="E195" s="358" t="s">
        <v>547</v>
      </c>
      <c r="F195" s="476"/>
      <c r="G195" s="831">
        <v>-14314182.483501783</v>
      </c>
      <c r="H195" s="383"/>
      <c r="I195" s="362" t="s">
        <v>130</v>
      </c>
      <c r="J195" s="475"/>
      <c r="K195" s="473"/>
      <c r="L195" s="831">
        <v>-3227139.7430472323</v>
      </c>
      <c r="M195" s="362"/>
      <c r="N195" s="358"/>
      <c r="O195" s="340"/>
    </row>
    <row r="196" spans="2:15">
      <c r="B196" s="342">
        <f t="shared" si="10"/>
        <v>120</v>
      </c>
      <c r="C196" s="343"/>
      <c r="D196" s="492" t="s">
        <v>737</v>
      </c>
      <c r="E196" s="358" t="s">
        <v>547</v>
      </c>
      <c r="F196" s="476"/>
      <c r="G196" s="831">
        <v>4976430.4956668783</v>
      </c>
      <c r="H196" s="383"/>
      <c r="I196" s="362" t="s">
        <v>130</v>
      </c>
      <c r="J196" s="475"/>
      <c r="K196" s="473"/>
      <c r="L196" s="831">
        <v>2278716.081316798</v>
      </c>
      <c r="M196" s="362"/>
      <c r="N196" s="358"/>
      <c r="O196" s="340"/>
    </row>
    <row r="197" spans="2:15">
      <c r="B197" s="342"/>
      <c r="C197" s="343"/>
      <c r="D197" s="411"/>
      <c r="E197" s="340"/>
      <c r="F197" s="462"/>
      <c r="G197" s="423"/>
      <c r="H197" s="383"/>
      <c r="I197" s="388"/>
      <c r="J197" s="477"/>
      <c r="K197" s="473"/>
      <c r="L197" s="460"/>
      <c r="M197" s="358"/>
      <c r="N197" s="358"/>
      <c r="O197" s="340"/>
    </row>
    <row r="198" spans="2:15">
      <c r="B198" s="342">
        <f>+B196+1</f>
        <v>121</v>
      </c>
      <c r="C198" s="343"/>
      <c r="D198" s="470" t="s">
        <v>342</v>
      </c>
      <c r="E198" s="476" t="str">
        <f>"(ln "&amp;B190&amp;" * ln "&amp;B205&amp;")"</f>
        <v>(ln 114 * ln 126)</v>
      </c>
      <c r="F198" s="478"/>
      <c r="G198" s="423">
        <f>+G190*G205</f>
        <v>110334085.87901175</v>
      </c>
      <c r="H198" s="383"/>
      <c r="I198" s="388"/>
      <c r="J198" s="477"/>
      <c r="K198" s="423"/>
      <c r="L198" s="423">
        <f>+L205*G190</f>
        <v>23483395.248719387</v>
      </c>
      <c r="M198" s="358"/>
      <c r="N198" s="358"/>
      <c r="O198" s="340"/>
    </row>
    <row r="199" spans="2:15">
      <c r="B199" s="342">
        <f>+B198+1</f>
        <v>122</v>
      </c>
      <c r="C199" s="343"/>
      <c r="D199" s="492" t="s">
        <v>343</v>
      </c>
      <c r="E199" s="476" t="str">
        <f>"(ln "&amp;B193&amp;" * ln "&amp;B194&amp;")"</f>
        <v>(ln 117 * ln 118)</v>
      </c>
      <c r="F199" s="476"/>
      <c r="G199" s="451">
        <f>G193*G194</f>
        <v>1968627.6554284173</v>
      </c>
      <c r="H199" s="383"/>
      <c r="I199" s="362" t="s">
        <v>747</v>
      </c>
      <c r="J199" s="363">
        <f>J75</f>
        <v>0.17063975863661229</v>
      </c>
      <c r="K199" s="423"/>
      <c r="L199" s="451">
        <f>+G199*J199</f>
        <v>335926.14796766505</v>
      </c>
      <c r="M199" s="358"/>
      <c r="N199" s="358"/>
      <c r="O199" s="340"/>
    </row>
    <row r="200" spans="2:15">
      <c r="B200" s="342">
        <f>B199+1</f>
        <v>123</v>
      </c>
      <c r="C200" s="343"/>
      <c r="D200" s="492" t="s">
        <v>534</v>
      </c>
      <c r="E200" s="476" t="str">
        <f>"(ln "&amp;B193&amp;" * ln "&amp;B195&amp;")"</f>
        <v>(ln 117 * ln 119)</v>
      </c>
      <c r="F200" s="476"/>
      <c r="G200" s="451">
        <f>G195*G193</f>
        <v>-19076154.550413501</v>
      </c>
      <c r="H200" s="383"/>
      <c r="I200" s="479"/>
      <c r="J200" s="363"/>
      <c r="K200" s="423"/>
      <c r="L200" s="451">
        <f>L195*G193</f>
        <v>-4300728.7747732066</v>
      </c>
      <c r="M200" s="358"/>
      <c r="N200" s="358"/>
      <c r="O200" s="340"/>
    </row>
    <row r="201" spans="2:15">
      <c r="B201" s="342">
        <f>B200+1</f>
        <v>124</v>
      </c>
      <c r="C201" s="343"/>
      <c r="D201" s="492" t="s">
        <v>737</v>
      </c>
      <c r="E201" s="476" t="str">
        <f>"(ln "&amp;B193&amp;" * ln "&amp;B196&amp;")"</f>
        <v>(ln 117 * ln 120)</v>
      </c>
      <c r="F201" s="476"/>
      <c r="G201" s="480">
        <f>G196*G193</f>
        <v>6631965.0007360075</v>
      </c>
      <c r="H201" s="383"/>
      <c r="I201" s="479"/>
      <c r="J201" s="363"/>
      <c r="K201" s="423"/>
      <c r="L201" s="480">
        <f>L196*G193</f>
        <v>3036788.1780055165</v>
      </c>
      <c r="M201" s="358"/>
      <c r="N201" s="358"/>
      <c r="O201" s="340"/>
    </row>
    <row r="202" spans="2:15">
      <c r="B202" s="342"/>
      <c r="C202" s="343"/>
      <c r="D202" s="366"/>
      <c r="E202" s="476"/>
      <c r="F202" s="476"/>
      <c r="G202" s="451"/>
      <c r="H202" s="383"/>
      <c r="I202" s="479"/>
      <c r="J202" s="363"/>
      <c r="K202" s="423"/>
      <c r="L202" s="451"/>
      <c r="M202" s="358"/>
      <c r="N202" s="358"/>
      <c r="O202" s="340"/>
    </row>
    <row r="203" spans="2:15">
      <c r="B203" s="342">
        <f>+B201+1</f>
        <v>125</v>
      </c>
      <c r="C203" s="343"/>
      <c r="D203" s="461" t="s">
        <v>36</v>
      </c>
      <c r="E203" s="340" t="str">
        <f>"(sum lns "&amp;B198&amp;" to "&amp;B201&amp;")"</f>
        <v>(sum lns 121 to 124)</v>
      </c>
      <c r="F203" s="476"/>
      <c r="G203" s="390">
        <f>SUM(G198:G201)</f>
        <v>99858523.984762684</v>
      </c>
      <c r="H203" s="383"/>
      <c r="I203" s="388" t="s">
        <v>115</v>
      </c>
      <c r="J203" s="481"/>
      <c r="K203" s="423"/>
      <c r="L203" s="390">
        <f>SUM(L198:L201)</f>
        <v>22555380.799919363</v>
      </c>
      <c r="M203" s="358"/>
      <c r="N203" s="358"/>
      <c r="O203" s="340"/>
    </row>
    <row r="204" spans="2:15">
      <c r="B204" s="342"/>
      <c r="C204" s="343"/>
      <c r="D204" s="404"/>
      <c r="E204" s="340"/>
      <c r="F204" s="340"/>
      <c r="G204" s="340"/>
      <c r="H204" s="358"/>
      <c r="I204" s="371"/>
      <c r="J204" s="458"/>
      <c r="K204" s="340"/>
      <c r="L204" s="340"/>
      <c r="M204" s="358"/>
      <c r="N204" s="358"/>
      <c r="O204" s="340"/>
    </row>
    <row r="205" spans="2:15">
      <c r="B205" s="342">
        <f>+B203+1</f>
        <v>126</v>
      </c>
      <c r="C205" s="343"/>
      <c r="D205" s="470" t="s">
        <v>200</v>
      </c>
      <c r="E205" s="470" t="str">
        <f>"(ln "&amp;B125&amp;" * ln "&amp;B258&amp;")"</f>
        <v>(ln 68 * ln 157)</v>
      </c>
      <c r="F205" s="434"/>
      <c r="G205" s="423">
        <f>+$L258*G125</f>
        <v>453485728.10402393</v>
      </c>
      <c r="H205" s="358"/>
      <c r="I205" s="388"/>
      <c r="J205" s="423"/>
      <c r="K205" s="423"/>
      <c r="L205" s="423">
        <f>+L258*L125</f>
        <v>96519443.722928971</v>
      </c>
      <c r="M205" s="358"/>
      <c r="N205" s="482"/>
      <c r="O205" s="460"/>
    </row>
    <row r="206" spans="2:15">
      <c r="B206" s="342"/>
      <c r="C206" s="343"/>
      <c r="D206" s="461"/>
      <c r="G206" s="423"/>
      <c r="H206" s="423"/>
      <c r="I206" s="388"/>
      <c r="J206" s="388"/>
      <c r="K206" s="423"/>
      <c r="L206" s="423"/>
      <c r="M206" s="358"/>
      <c r="N206" s="333"/>
    </row>
    <row r="207" spans="2:15">
      <c r="B207" s="342">
        <f>+B205+1</f>
        <v>127</v>
      </c>
      <c r="C207" s="343"/>
      <c r="D207" s="483" t="s">
        <v>100</v>
      </c>
      <c r="F207" s="452"/>
      <c r="G207" s="376">
        <f>-'WS D IPP Credits'!C13</f>
        <v>0</v>
      </c>
      <c r="H207" s="376"/>
      <c r="I207" s="432" t="s">
        <v>130</v>
      </c>
      <c r="J207" s="363">
        <v>1</v>
      </c>
      <c r="K207" s="456"/>
      <c r="L207" s="423">
        <f>+J207*G207</f>
        <v>0</v>
      </c>
      <c r="M207" s="409"/>
      <c r="N207" s="333"/>
    </row>
    <row r="208" spans="2:15">
      <c r="B208" s="342"/>
      <c r="C208" s="343"/>
      <c r="D208" s="483"/>
      <c r="F208" s="452"/>
      <c r="G208" s="376"/>
      <c r="H208" s="376"/>
      <c r="I208" s="432"/>
      <c r="J208" s="363"/>
      <c r="K208" s="456"/>
      <c r="L208" s="423"/>
      <c r="M208" s="409"/>
      <c r="N208" s="333"/>
    </row>
    <row r="209" spans="2:15">
      <c r="B209" s="342">
        <f>+B207+1</f>
        <v>128</v>
      </c>
      <c r="C209" s="343"/>
      <c r="D209" s="483"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33"/>
      <c r="F209" s="407"/>
      <c r="G209" s="376">
        <f>+'WS N - Sale of Plant Held'!O33</f>
        <v>0</v>
      </c>
      <c r="H209" s="376"/>
      <c r="I209" s="484"/>
      <c r="J209" s="363"/>
      <c r="K209" s="410"/>
      <c r="L209" s="376">
        <f>'WS N - Sale of Plant Held'!S33</f>
        <v>0</v>
      </c>
      <c r="M209" s="409"/>
      <c r="N209" s="333"/>
    </row>
    <row r="210" spans="2:15">
      <c r="B210" s="342"/>
      <c r="C210" s="343"/>
      <c r="D210" s="483"/>
      <c r="E210" s="333"/>
      <c r="F210" s="407"/>
      <c r="G210" s="376"/>
      <c r="H210" s="376"/>
      <c r="I210" s="484"/>
      <c r="J210" s="363"/>
      <c r="K210" s="410"/>
      <c r="L210" s="376"/>
      <c r="M210" s="409"/>
      <c r="N210" s="333"/>
    </row>
    <row r="211" spans="2:15">
      <c r="B211" s="342">
        <f>+B209+1</f>
        <v>129</v>
      </c>
      <c r="C211" s="343"/>
      <c r="D211" s="483" t="str">
        <f>" Tax Impact on Net Loss / (Gain) on Sales of Plant Held for Future Use (ln "&amp;B209&amp;" * ln"&amp;B190&amp;")"</f>
        <v xml:space="preserve"> Tax Impact on Net Loss / (Gain) on Sales of Plant Held for Future Use (ln 128 * ln114)</v>
      </c>
      <c r="E211" s="333"/>
      <c r="F211" s="407"/>
      <c r="G211" s="376">
        <f>-+G190*G209</f>
        <v>0</v>
      </c>
      <c r="H211" s="376"/>
      <c r="I211" s="484"/>
      <c r="J211" s="363"/>
      <c r="K211" s="410"/>
      <c r="L211" s="376">
        <f>L209*-G190</f>
        <v>0</v>
      </c>
      <c r="M211" s="409"/>
      <c r="N211" s="333"/>
    </row>
    <row r="212" spans="2:15" ht="15.75" thickBot="1">
      <c r="B212" s="342"/>
      <c r="C212" s="343"/>
      <c r="D212" s="404"/>
      <c r="G212" s="433"/>
      <c r="H212" s="485"/>
      <c r="I212" s="388"/>
      <c r="J212" s="388"/>
      <c r="K212" s="423"/>
      <c r="L212" s="433"/>
      <c r="M212" s="358"/>
      <c r="N212" s="333"/>
    </row>
    <row r="213" spans="2:15" ht="15.75" thickBot="1">
      <c r="B213" s="342">
        <f>+B211+1</f>
        <v>130</v>
      </c>
      <c r="C213" s="343"/>
      <c r="D213" s="328" t="s">
        <v>250</v>
      </c>
      <c r="G213" s="486">
        <f>+G207+G205+G203+G186+G177+G169+G209+G211</f>
        <v>1425730403.3210549</v>
      </c>
      <c r="L213" s="486">
        <f>+L207+L205+L203+L186+L177+L169+L209+L211</f>
        <v>222506652.50003731</v>
      </c>
      <c r="M213" s="358"/>
      <c r="N213" s="333"/>
    </row>
    <row r="214" spans="2:15" ht="15.75" thickTop="1">
      <c r="B214" s="342"/>
      <c r="C214" s="343"/>
      <c r="D214" s="334" t="str">
        <f>"    (sum lns "&amp;B169&amp;", "&amp;B177&amp;", "&amp;B186&amp;", "&amp;B203&amp;", "&amp;B205&amp;", "&amp;B207&amp;", "&amp;B209&amp;", "&amp;B211&amp;")"</f>
        <v xml:space="preserve">    (sum lns 96, 103, 111, 125, 126, 127, 128, 129)</v>
      </c>
      <c r="F214" s="487"/>
      <c r="M214" s="358"/>
      <c r="N214" s="333"/>
    </row>
    <row r="215" spans="2:15">
      <c r="B215" s="342"/>
      <c r="C215" s="343"/>
      <c r="F215" s="487"/>
      <c r="M215" s="358"/>
      <c r="N215" s="333"/>
    </row>
    <row r="216" spans="2:15">
      <c r="B216" s="342"/>
      <c r="C216" s="343"/>
      <c r="D216" s="334"/>
      <c r="F216" s="437" t="str">
        <f>F128</f>
        <v xml:space="preserve">AEP East Companies </v>
      </c>
      <c r="M216" s="436"/>
      <c r="N216" s="333"/>
    </row>
    <row r="217" spans="2:15">
      <c r="B217" s="342"/>
      <c r="C217" s="343"/>
      <c r="D217" s="334"/>
      <c r="F217" s="437" t="str">
        <f>F129</f>
        <v>Transmission Cost of Service Formula Rate</v>
      </c>
      <c r="M217" s="436"/>
      <c r="N217" s="333"/>
    </row>
    <row r="218" spans="2:15">
      <c r="B218" s="328"/>
      <c r="C218" s="343"/>
      <c r="F218" s="437" t="str">
        <f>F130</f>
        <v>Utilizing  Actual/Projected FERC Form 1 Data</v>
      </c>
      <c r="M218" s="393"/>
      <c r="N218" s="333"/>
    </row>
    <row r="219" spans="2:15">
      <c r="B219" s="342"/>
      <c r="C219" s="343"/>
      <c r="E219" s="437"/>
      <c r="F219" s="437"/>
      <c r="G219" s="437"/>
      <c r="H219" s="437"/>
      <c r="I219" s="437"/>
      <c r="J219" s="437"/>
      <c r="K219" s="437"/>
      <c r="M219" s="358"/>
      <c r="N219" s="333"/>
    </row>
    <row r="220" spans="2:15">
      <c r="B220" s="342"/>
      <c r="C220" s="343"/>
      <c r="E220" s="334"/>
      <c r="F220" s="437" t="str">
        <f>F132</f>
        <v xml:space="preserve">Indiana Michigan Power Company </v>
      </c>
      <c r="G220" s="334"/>
      <c r="H220" s="334"/>
      <c r="I220" s="334"/>
      <c r="J220" s="334"/>
      <c r="K220" s="334"/>
      <c r="L220" s="334"/>
      <c r="M220" s="379"/>
      <c r="N220" s="333"/>
    </row>
    <row r="221" spans="2:15">
      <c r="B221" s="342"/>
      <c r="C221" s="343"/>
      <c r="E221" s="334"/>
      <c r="F221" s="437"/>
      <c r="G221" s="334"/>
      <c r="H221" s="334"/>
      <c r="I221" s="334"/>
      <c r="J221" s="334"/>
      <c r="K221" s="334"/>
      <c r="L221" s="334"/>
      <c r="M221" s="379"/>
      <c r="N221" s="333"/>
    </row>
    <row r="222" spans="2:15" ht="15.75">
      <c r="B222" s="342"/>
      <c r="C222" s="343"/>
      <c r="F222" s="443" t="s">
        <v>41</v>
      </c>
      <c r="H222" s="337"/>
      <c r="I222" s="337"/>
      <c r="J222" s="337"/>
      <c r="K222" s="337"/>
      <c r="L222" s="337"/>
      <c r="M222" s="358"/>
      <c r="N222" s="333"/>
    </row>
    <row r="223" spans="2:15" ht="15.75">
      <c r="B223" s="342"/>
      <c r="C223" s="343"/>
      <c r="D223" s="488"/>
      <c r="E223" s="337"/>
      <c r="F223" s="337"/>
      <c r="G223" s="337"/>
      <c r="H223" s="337"/>
      <c r="I223" s="337"/>
      <c r="J223" s="337"/>
      <c r="K223" s="337"/>
      <c r="L223" s="337"/>
      <c r="M223" s="358"/>
      <c r="N223" s="333"/>
    </row>
    <row r="224" spans="2:15" ht="15.75">
      <c r="B224" s="342" t="s">
        <v>117</v>
      </c>
      <c r="C224" s="343"/>
      <c r="D224" s="488"/>
      <c r="E224" s="337"/>
      <c r="F224" s="337"/>
      <c r="G224" s="337"/>
      <c r="H224" s="337"/>
      <c r="I224" s="337"/>
      <c r="J224" s="337"/>
      <c r="K224" s="337"/>
      <c r="L224" s="337"/>
      <c r="M224" s="358"/>
      <c r="N224" s="333"/>
      <c r="O224" s="333"/>
    </row>
    <row r="225" spans="2:16" ht="15.75" thickBot="1">
      <c r="B225" s="349" t="s">
        <v>118</v>
      </c>
      <c r="C225" s="350"/>
      <c r="D225" s="379" t="s">
        <v>222</v>
      </c>
      <c r="E225" s="353"/>
      <c r="F225" s="353"/>
      <c r="G225" s="353"/>
      <c r="H225" s="353"/>
      <c r="I225" s="353"/>
      <c r="J225" s="353"/>
      <c r="K225" s="333"/>
      <c r="M225" s="358"/>
      <c r="N225" s="333"/>
      <c r="O225" s="333"/>
      <c r="P225" s="345"/>
    </row>
    <row r="226" spans="2:16">
      <c r="B226" s="342">
        <f>+B213+1</f>
        <v>131</v>
      </c>
      <c r="C226" s="343"/>
      <c r="D226" s="353" t="s">
        <v>167</v>
      </c>
      <c r="E226" s="489" t="str">
        <f>"(ln "&amp;B68&amp;")"</f>
        <v>(ln 21)</v>
      </c>
      <c r="F226" s="490"/>
      <c r="H226" s="491"/>
      <c r="I226" s="491"/>
      <c r="J226" s="491"/>
      <c r="K226" s="491"/>
      <c r="L226" s="361">
        <f>+G68</f>
        <v>1994304507.8047283</v>
      </c>
      <c r="M226" s="358"/>
      <c r="N226" s="333"/>
      <c r="O226" s="333"/>
      <c r="P226" s="345"/>
    </row>
    <row r="227" spans="2:16">
      <c r="B227" s="342">
        <f>+B226+1</f>
        <v>132</v>
      </c>
      <c r="C227" s="343"/>
      <c r="D227" s="353" t="str">
        <f>"  Less transmission plant excluded from PJM Tariff  (Worksheet A, ln "&amp;'WS A - RB Support'!A62&amp;", Col. "&amp;'WS A - RB Support'!E47&amp;") (Note P)"</f>
        <v xml:space="preserve">  Less transmission plant excluded from PJM Tariff  (Worksheet A, ln 42, Col. (d)) (Note P)</v>
      </c>
      <c r="E227" s="492"/>
      <c r="F227" s="492"/>
      <c r="G227" s="493"/>
      <c r="H227" s="492"/>
      <c r="I227" s="492"/>
      <c r="J227" s="492"/>
      <c r="K227" s="492"/>
      <c r="L227" s="831">
        <f>'WS A - RB Support'!E62</f>
        <v>0</v>
      </c>
      <c r="M227" s="358"/>
      <c r="N227" s="333"/>
      <c r="P227" s="345"/>
    </row>
    <row r="228" spans="2:16" ht="15.75" thickBot="1">
      <c r="B228" s="342">
        <f>+B227+1</f>
        <v>133</v>
      </c>
      <c r="C228" s="343"/>
      <c r="D228" s="490" t="str">
        <f>"  Less transmission plant included in OATT Ancillary Services (Worksheet A, ln "&amp;'WS A - RB Support'!A62&amp;", Col. "&amp;'WS A - RB Support'!C47&amp;")  (Note Q)"</f>
        <v xml:space="preserve">  Less transmission plant included in OATT Ancillary Services (Worksheet A, ln 42, Col. (b))  (Note Q)</v>
      </c>
      <c r="E228" s="490"/>
      <c r="F228" s="490"/>
      <c r="G228" s="403"/>
      <c r="H228" s="491"/>
      <c r="I228" s="491"/>
      <c r="J228" s="403"/>
      <c r="K228" s="491"/>
      <c r="L228" s="494">
        <f>'WS A - RB Support'!C62</f>
        <v>60422685.409999974</v>
      </c>
      <c r="M228" s="358"/>
      <c r="N228" s="333"/>
      <c r="P228" s="345"/>
    </row>
    <row r="229" spans="2:16">
      <c r="B229" s="342">
        <f>+B228+1</f>
        <v>134</v>
      </c>
      <c r="C229" s="343"/>
      <c r="D229" s="353" t="s">
        <v>223</v>
      </c>
      <c r="E229" s="495" t="str">
        <f>"(ln "&amp;B226&amp;" - ln "&amp;B227&amp;" - ln "&amp;B228&amp;")"</f>
        <v>(ln 131 - ln 132 - ln 133)</v>
      </c>
      <c r="F229" s="490"/>
      <c r="H229" s="491"/>
      <c r="I229" s="491"/>
      <c r="J229" s="403"/>
      <c r="K229" s="491"/>
      <c r="L229" s="361">
        <f>L226-L227-L228</f>
        <v>1933881822.3947282</v>
      </c>
      <c r="M229" s="358"/>
      <c r="N229" s="333"/>
      <c r="P229" s="345"/>
    </row>
    <row r="230" spans="2:16">
      <c r="B230" s="342"/>
      <c r="C230" s="343"/>
      <c r="D230" s="333"/>
      <c r="E230" s="490"/>
      <c r="F230" s="490"/>
      <c r="G230" s="403"/>
      <c r="H230" s="491"/>
      <c r="I230" s="491"/>
      <c r="J230" s="403"/>
      <c r="K230" s="491"/>
      <c r="L230" s="492"/>
      <c r="M230" s="358"/>
      <c r="N230" s="333"/>
      <c r="P230" s="345"/>
    </row>
    <row r="231" spans="2:16" ht="15.75">
      <c r="B231" s="342">
        <f>+B229+1</f>
        <v>135</v>
      </c>
      <c r="C231" s="343"/>
      <c r="D231" s="353" t="s">
        <v>224</v>
      </c>
      <c r="E231" s="496" t="str">
        <f>"(ln "&amp;B229&amp;" / ln "&amp;B226&amp;")"</f>
        <v>(ln 134 / ln 131)</v>
      </c>
      <c r="F231" s="497"/>
      <c r="H231" s="498"/>
      <c r="I231" s="499"/>
      <c r="J231" s="499"/>
      <c r="K231" s="500" t="s">
        <v>144</v>
      </c>
      <c r="L231" s="501">
        <f>IF(L226&gt;0,L229/L226,0)</f>
        <v>0.96970237735835452</v>
      </c>
      <c r="M231" s="358"/>
      <c r="N231" s="333"/>
      <c r="P231" s="345"/>
    </row>
    <row r="232" spans="2:16" ht="15.75">
      <c r="B232" s="342"/>
      <c r="C232" s="343"/>
      <c r="D232" s="502"/>
      <c r="E232" s="353"/>
      <c r="F232" s="353"/>
      <c r="G232" s="503"/>
      <c r="H232" s="353"/>
      <c r="I232" s="368"/>
      <c r="J232" s="353"/>
      <c r="K232" s="353"/>
      <c r="L232" s="337"/>
      <c r="M232" s="358"/>
      <c r="N232" s="333"/>
    </row>
    <row r="233" spans="2:16" ht="30">
      <c r="B233" s="342">
        <f>B231+1</f>
        <v>136</v>
      </c>
      <c r="C233" s="368"/>
      <c r="D233" s="379" t="s">
        <v>42</v>
      </c>
      <c r="E233" s="362" t="s">
        <v>344</v>
      </c>
      <c r="F233" s="362" t="s">
        <v>185</v>
      </c>
      <c r="G233" s="504" t="s">
        <v>215</v>
      </c>
      <c r="H233" s="438" t="s">
        <v>119</v>
      </c>
      <c r="I233" s="371"/>
      <c r="J233" s="340"/>
      <c r="K233" s="340"/>
      <c r="L233" s="340"/>
      <c r="M233" s="358"/>
      <c r="N233" s="333"/>
    </row>
    <row r="234" spans="2:16">
      <c r="B234" s="342">
        <f t="shared" ref="B234:B239" si="11">+B233+1</f>
        <v>137</v>
      </c>
      <c r="C234" s="368"/>
      <c r="D234" s="379" t="s">
        <v>127</v>
      </c>
      <c r="E234" s="340" t="s">
        <v>432</v>
      </c>
      <c r="F234" s="833">
        <v>127393000</v>
      </c>
      <c r="G234" s="833">
        <v>9067000</v>
      </c>
      <c r="H234" s="405">
        <f>+F234+G234</f>
        <v>136460000</v>
      </c>
      <c r="I234" s="371" t="s">
        <v>128</v>
      </c>
      <c r="J234" s="363">
        <v>0</v>
      </c>
      <c r="K234" s="505"/>
      <c r="L234" s="423">
        <f>(F234+G234)*J234</f>
        <v>0</v>
      </c>
      <c r="M234" s="358"/>
      <c r="N234" s="333"/>
    </row>
    <row r="235" spans="2:16">
      <c r="B235" s="342">
        <f t="shared" si="11"/>
        <v>138</v>
      </c>
      <c r="C235" s="368"/>
      <c r="D235" s="411" t="s">
        <v>129</v>
      </c>
      <c r="E235" s="358" t="s">
        <v>12</v>
      </c>
      <c r="F235" s="833">
        <v>4185000</v>
      </c>
      <c r="G235" s="833">
        <v>4756000</v>
      </c>
      <c r="H235" s="405">
        <f>+F235+G235</f>
        <v>8941000</v>
      </c>
      <c r="I235" s="368" t="s">
        <v>121</v>
      </c>
      <c r="J235" s="363">
        <f>L231</f>
        <v>0.96970237735835452</v>
      </c>
      <c r="K235" s="505"/>
      <c r="L235" s="423">
        <f>(F235+G235)*J235</f>
        <v>8670108.9559610486</v>
      </c>
      <c r="M235" s="358"/>
      <c r="N235" s="333"/>
    </row>
    <row r="236" spans="2:16">
      <c r="B236" s="342">
        <f t="shared" si="11"/>
        <v>139</v>
      </c>
      <c r="C236" s="368"/>
      <c r="D236" s="411" t="s">
        <v>227</v>
      </c>
      <c r="E236" s="340" t="s">
        <v>467</v>
      </c>
      <c r="F236" s="833">
        <v>0</v>
      </c>
      <c r="G236" s="833">
        <v>0</v>
      </c>
      <c r="H236" s="405">
        <v>0</v>
      </c>
      <c r="I236" s="371" t="s">
        <v>128</v>
      </c>
      <c r="J236" s="363">
        <v>0</v>
      </c>
      <c r="K236" s="505"/>
      <c r="L236" s="423">
        <f>(F236+G236)*J236</f>
        <v>0</v>
      </c>
      <c r="M236" s="358"/>
      <c r="N236" s="333"/>
    </row>
    <row r="237" spans="2:16">
      <c r="B237" s="342">
        <f t="shared" si="11"/>
        <v>140</v>
      </c>
      <c r="C237" s="368"/>
      <c r="D237" s="411" t="s">
        <v>131</v>
      </c>
      <c r="E237" s="340" t="s">
        <v>430</v>
      </c>
      <c r="F237" s="833">
        <v>18020000</v>
      </c>
      <c r="G237" s="833">
        <v>2093000</v>
      </c>
      <c r="H237" s="405">
        <f>+F237+G237</f>
        <v>20113000</v>
      </c>
      <c r="I237" s="371" t="s">
        <v>128</v>
      </c>
      <c r="J237" s="363">
        <v>0</v>
      </c>
      <c r="K237" s="505"/>
      <c r="L237" s="423">
        <f>(F237+G237)*J237</f>
        <v>0</v>
      </c>
      <c r="M237" s="358"/>
      <c r="N237" s="333"/>
    </row>
    <row r="238" spans="2:16" ht="15.75" thickBot="1">
      <c r="B238" s="342">
        <f t="shared" si="11"/>
        <v>141</v>
      </c>
      <c r="C238" s="368"/>
      <c r="D238" s="411" t="s">
        <v>202</v>
      </c>
      <c r="E238" s="340" t="s">
        <v>431</v>
      </c>
      <c r="F238" s="834">
        <v>4974000</v>
      </c>
      <c r="G238" s="834">
        <v>4641000</v>
      </c>
      <c r="H238" s="506">
        <f>+F238+G238</f>
        <v>9615000</v>
      </c>
      <c r="I238" s="371" t="s">
        <v>128</v>
      </c>
      <c r="J238" s="363">
        <v>0</v>
      </c>
      <c r="K238" s="505"/>
      <c r="L238" s="433">
        <f>(F238+G238)*J238</f>
        <v>0</v>
      </c>
      <c r="M238" s="358"/>
      <c r="N238" s="333"/>
    </row>
    <row r="239" spans="2:16" ht="15.75">
      <c r="B239" s="342">
        <f t="shared" si="11"/>
        <v>142</v>
      </c>
      <c r="C239" s="368"/>
      <c r="D239" s="411" t="s">
        <v>119</v>
      </c>
      <c r="E239" s="411" t="str">
        <f>"(sum lns "&amp;B234&amp;" to "&amp;B238&amp;")"</f>
        <v>(sum lns 137 to 141)</v>
      </c>
      <c r="F239" s="358">
        <f>SUM(F234:F238)</f>
        <v>154572000</v>
      </c>
      <c r="G239" s="358">
        <f>SUM(G234:G238)</f>
        <v>20557000</v>
      </c>
      <c r="H239" s="358">
        <f>SUM(H234:H238)</f>
        <v>175129000</v>
      </c>
      <c r="I239" s="371"/>
      <c r="J239" s="340"/>
      <c r="K239" s="340"/>
      <c r="L239" s="423">
        <f>SUM(L234:L238)</f>
        <v>8670108.9559610486</v>
      </c>
      <c r="M239" s="507"/>
      <c r="N239" s="333"/>
    </row>
    <row r="240" spans="2:16">
      <c r="B240" s="342"/>
      <c r="C240" s="368"/>
      <c r="D240" s="411" t="s">
        <v>115</v>
      </c>
      <c r="E240" s="358" t="s">
        <v>115</v>
      </c>
      <c r="F240" s="358"/>
      <c r="G240" s="333"/>
      <c r="H240" s="358"/>
      <c r="I240" s="437"/>
      <c r="M240" s="333"/>
      <c r="N240" s="333"/>
    </row>
    <row r="241" spans="2:21" ht="15.75">
      <c r="B241" s="342">
        <f>B239+1</f>
        <v>143</v>
      </c>
      <c r="C241" s="343"/>
      <c r="D241" s="404" t="s">
        <v>43</v>
      </c>
      <c r="E241" s="358"/>
      <c r="F241" s="358"/>
      <c r="G241" s="358"/>
      <c r="H241" s="358"/>
      <c r="I241" s="437"/>
      <c r="K241" s="508" t="s">
        <v>44</v>
      </c>
      <c r="L241" s="509">
        <f>L239/(F239+G239)</f>
        <v>4.9506986027220215E-2</v>
      </c>
      <c r="M241" s="333"/>
      <c r="N241" s="333"/>
    </row>
    <row r="242" spans="2:21">
      <c r="B242" s="342"/>
      <c r="C242" s="343"/>
      <c r="D242" s="404"/>
      <c r="E242" s="358"/>
      <c r="F242" s="358"/>
      <c r="G242" s="358"/>
      <c r="H242" s="358"/>
      <c r="I242" s="371"/>
      <c r="J242" s="340"/>
      <c r="K242" s="340"/>
      <c r="L242" s="340"/>
      <c r="M242" s="358"/>
      <c r="N242" s="333"/>
    </row>
    <row r="243" spans="2:21" ht="15.75">
      <c r="B243" s="342"/>
      <c r="C243" s="343"/>
      <c r="D243" s="404"/>
      <c r="E243" s="487"/>
      <c r="F243" s="340"/>
      <c r="H243" s="340"/>
      <c r="I243" s="340"/>
      <c r="J243" s="340"/>
      <c r="K243" s="402"/>
      <c r="L243" s="510"/>
      <c r="M243" s="358"/>
      <c r="N243" s="333"/>
    </row>
    <row r="244" spans="2:21" ht="15.75" thickBot="1">
      <c r="B244" s="342">
        <f>+B241+1</f>
        <v>144</v>
      </c>
      <c r="C244" s="368"/>
      <c r="D244" s="411" t="s">
        <v>199</v>
      </c>
      <c r="E244" s="358"/>
      <c r="F244" s="358"/>
      <c r="G244" s="358"/>
      <c r="H244" s="358"/>
      <c r="I244" s="358"/>
      <c r="J244" s="358"/>
      <c r="K244" s="358"/>
      <c r="L244" s="511" t="s">
        <v>145</v>
      </c>
      <c r="M244" s="358"/>
      <c r="N244" s="333"/>
    </row>
    <row r="245" spans="2:21">
      <c r="B245" s="342">
        <f t="shared" ref="B245:B252" si="12">+B244+1</f>
        <v>145</v>
      </c>
      <c r="C245" s="368"/>
      <c r="D245" s="358" t="s">
        <v>220</v>
      </c>
      <c r="E245" s="333" t="str">
        <f>"(Worksheet M, ln. "&amp;'WS M - Cost of Capital'!A56&amp;", col. "&amp;'WS M - Cost of Capital'!E47&amp;")"</f>
        <v>(Worksheet M, ln. 37, col. (d))</v>
      </c>
      <c r="F245" s="358"/>
      <c r="G245" s="358"/>
      <c r="H245" s="358"/>
      <c r="I245" s="358"/>
      <c r="J245" s="358"/>
      <c r="K245" s="358"/>
      <c r="L245" s="376">
        <f>'WS M - Cost of Capital'!E56</f>
        <v>133673016.37096706</v>
      </c>
      <c r="M245" s="358"/>
      <c r="N245" s="333"/>
    </row>
    <row r="246" spans="2:21">
      <c r="B246" s="342">
        <f t="shared" si="12"/>
        <v>146</v>
      </c>
      <c r="C246" s="368"/>
      <c r="D246" s="358" t="s">
        <v>221</v>
      </c>
      <c r="E246" s="333" t="str">
        <f>"(Worksheet M, ln. "&amp;'WS M - Cost of Capital'!A103&amp;")"</f>
        <v>(Worksheet M, ln. 71)</v>
      </c>
      <c r="F246" s="358"/>
      <c r="G246" s="358"/>
      <c r="H246" s="358"/>
      <c r="I246" s="358"/>
      <c r="J246" s="358"/>
      <c r="K246" s="358"/>
      <c r="L246" s="376">
        <f>'WS M - Cost of Capital'!E103</f>
        <v>0</v>
      </c>
      <c r="M246" s="358"/>
      <c r="N246" s="333"/>
    </row>
    <row r="247" spans="2:21">
      <c r="B247" s="342">
        <f t="shared" si="12"/>
        <v>147</v>
      </c>
      <c r="C247" s="368"/>
      <c r="D247" s="512" t="s">
        <v>243</v>
      </c>
      <c r="E247" s="358"/>
      <c r="F247" s="358"/>
      <c r="G247" s="358"/>
      <c r="H247" s="427"/>
      <c r="I247" s="358"/>
      <c r="J247" s="358"/>
      <c r="K247" s="358"/>
      <c r="L247" s="376"/>
      <c r="M247" s="358"/>
      <c r="N247" s="333"/>
    </row>
    <row r="248" spans="2:21">
      <c r="B248" s="342">
        <f t="shared" si="12"/>
        <v>148</v>
      </c>
      <c r="C248" s="368"/>
      <c r="D248" s="358" t="s">
        <v>244</v>
      </c>
      <c r="E248" s="539" t="str">
        <f>"(Worksheet M, ln. "&amp;'WS M - Cost of Capital'!A23&amp;", col. "&amp;'WS M - Cost of Capital'!C8&amp;")"</f>
        <v>(Worksheet M, ln. 14, col. (b))</v>
      </c>
      <c r="F248" s="358"/>
      <c r="G248" s="353"/>
      <c r="H248" s="429"/>
      <c r="I248" s="358"/>
      <c r="J248" s="358"/>
      <c r="K248" s="358"/>
      <c r="L248" s="376">
        <f>'WS M - Cost of Capital'!C23</f>
        <v>3514184860.7096987</v>
      </c>
      <c r="M248" s="358"/>
      <c r="N248" s="333"/>
    </row>
    <row r="249" spans="2:21">
      <c r="B249" s="342">
        <f t="shared" si="12"/>
        <v>149</v>
      </c>
      <c r="C249" s="368"/>
      <c r="D249" s="358" t="s">
        <v>369</v>
      </c>
      <c r="E249" s="539" t="str">
        <f>"(Worksheet M, ln. "&amp;'WS M - Cost of Capital'!A23&amp;", col. "&amp;'WS M - Cost of Capital'!D8&amp;")"</f>
        <v>(Worksheet M, ln. 14, col. (c))</v>
      </c>
      <c r="F249" s="358"/>
      <c r="G249" s="358"/>
      <c r="H249" s="429"/>
      <c r="I249" s="358"/>
      <c r="J249" s="358"/>
      <c r="K249" s="358"/>
      <c r="L249" s="405">
        <f>'WS M - Cost of Capital'!D23</f>
        <v>0</v>
      </c>
      <c r="M249" s="358"/>
      <c r="N249" s="333"/>
    </row>
    <row r="250" spans="2:21">
      <c r="B250" s="342">
        <f>+B249+1</f>
        <v>150</v>
      </c>
      <c r="C250" s="368"/>
      <c r="D250" s="358" t="s">
        <v>362</v>
      </c>
      <c r="E250" s="539" t="str">
        <f>"(Worksheet M, ln. "&amp;'WS M - Cost of Capital'!A23&amp;", col. "&amp;'WS M - Cost of Capital'!E8&amp;")"</f>
        <v>(Worksheet M, ln. 14, col. (d))</v>
      </c>
      <c r="F250" s="358"/>
      <c r="G250" s="358"/>
      <c r="H250" s="429"/>
      <c r="I250" s="358"/>
      <c r="J250" s="358"/>
      <c r="K250" s="358"/>
      <c r="L250" s="405">
        <f>'WS M - Cost of Capital'!E23</f>
        <v>-2133008.3323076922</v>
      </c>
      <c r="M250" s="358"/>
      <c r="N250" s="333"/>
    </row>
    <row r="251" spans="2:21" ht="15.75" thickBot="1">
      <c r="B251" s="342">
        <f t="shared" si="12"/>
        <v>151</v>
      </c>
      <c r="C251" s="368"/>
      <c r="D251" s="358" t="s">
        <v>368</v>
      </c>
      <c r="E251" s="539" t="str">
        <f>"(Worksheet M, ln. "&amp;'WS M - Cost of Capital'!A23&amp;", col. "&amp;'WS M - Cost of Capital'!F8&amp;")"</f>
        <v>(Worksheet M, ln. 14, col. (e))</v>
      </c>
      <c r="F251" s="358"/>
      <c r="G251" s="358"/>
      <c r="H251" s="429"/>
      <c r="I251" s="358"/>
      <c r="J251" s="430"/>
      <c r="K251" s="358"/>
      <c r="L251" s="506">
        <f>'WS M - Cost of Capital'!F23</f>
        <v>359320.45961538737</v>
      </c>
      <c r="M251" s="358"/>
      <c r="N251" s="333"/>
    </row>
    <row r="252" spans="2:21">
      <c r="B252" s="342">
        <f t="shared" si="12"/>
        <v>152</v>
      </c>
      <c r="C252" s="368"/>
      <c r="D252" s="328" t="s">
        <v>245</v>
      </c>
      <c r="E252" s="358" t="str">
        <f>"(ln "&amp;B248&amp;" - ln "&amp;B249&amp;" - ln "&amp;B250&amp;" - ln "&amp;B251&amp;")"</f>
        <v>(ln 148 - ln 149 - ln 150 - ln 151)</v>
      </c>
      <c r="F252" s="513"/>
      <c r="G252" s="333"/>
      <c r="H252" s="353"/>
      <c r="I252" s="353"/>
      <c r="J252" s="353"/>
      <c r="K252" s="353"/>
      <c r="L252" s="376">
        <f>+L248-L249-L250-L251</f>
        <v>3515958548.5823913</v>
      </c>
      <c r="M252" s="340"/>
    </row>
    <row r="253" spans="2:21" ht="15.75">
      <c r="B253" s="342"/>
      <c r="C253" s="368"/>
      <c r="D253" s="411"/>
      <c r="E253" s="358"/>
      <c r="F253" s="358"/>
      <c r="G253" s="446"/>
      <c r="H253" s="1535" t="s">
        <v>954</v>
      </c>
      <c r="I253" s="1535"/>
      <c r="J253" s="515" t="s">
        <v>146</v>
      </c>
      <c r="K253" s="358"/>
      <c r="L253" s="358"/>
      <c r="M253" s="340"/>
    </row>
    <row r="254" spans="2:21" ht="15.75" thickBot="1">
      <c r="B254" s="342">
        <f>+B252+1</f>
        <v>153</v>
      </c>
      <c r="C254" s="368"/>
      <c r="D254" s="411"/>
      <c r="F254" s="358"/>
      <c r="G254" s="516" t="s">
        <v>145</v>
      </c>
      <c r="H254" s="516" t="s">
        <v>147</v>
      </c>
      <c r="I254" s="511" t="s">
        <v>953</v>
      </c>
      <c r="J254" s="517" t="s">
        <v>428</v>
      </c>
      <c r="K254" s="358"/>
      <c r="L254" s="516" t="s">
        <v>148</v>
      </c>
      <c r="M254" s="340"/>
      <c r="N254" s="334"/>
      <c r="O254" s="334"/>
      <c r="P254" s="334"/>
      <c r="Q254" s="334"/>
      <c r="R254" s="334"/>
      <c r="S254" s="334"/>
      <c r="T254" s="334"/>
      <c r="U254" s="334"/>
    </row>
    <row r="255" spans="2:21">
      <c r="B255" s="342">
        <f>+B254+1</f>
        <v>154</v>
      </c>
      <c r="C255" s="368"/>
      <c r="D255" s="539" t="str">
        <f>"  Long Term Debt  (Note T) Worksheet M, ln "&amp;'WS M - Cost of Capital'!A42&amp;", col. (g), ln "&amp;'WS M - Cost of Capital'!A58&amp;", col. "&amp;'WS M - Cost of Capital'!E47&amp;")"</f>
        <v xml:space="preserve">  Long Term Debt  (Note T) Worksheet M, ln 28, col. (g), ln 38, col. (d))</v>
      </c>
      <c r="E255" s="539"/>
      <c r="F255" s="358"/>
      <c r="G255" s="376">
        <f>'WS M - Cost of Capital'!H42</f>
        <v>2955716622.4724345</v>
      </c>
      <c r="H255" s="1246">
        <f>IF($G$258&gt;0,G255/$G$258,0)</f>
        <v>0.4567158493510543</v>
      </c>
      <c r="I255" s="518">
        <f>IF(H257&gt;E260,1-I256-I257,H255)</f>
        <v>0.4567158493510543</v>
      </c>
      <c r="J255" s="430">
        <f>'WS M - Cost of Capital'!E58</f>
        <v>4.5225247696157891E-2</v>
      </c>
      <c r="K255" s="333"/>
      <c r="L255" s="520">
        <f>H255*J255</f>
        <v>2.0655087413662562E-2</v>
      </c>
      <c r="M255" s="521"/>
      <c r="N255" s="334"/>
      <c r="O255" s="334"/>
      <c r="P255" s="334"/>
      <c r="Q255" s="334"/>
      <c r="R255" s="334"/>
      <c r="S255" s="334"/>
      <c r="T255" s="334"/>
      <c r="U255" s="334"/>
    </row>
    <row r="256" spans="2:21">
      <c r="B256" s="342">
        <f>+B255+1</f>
        <v>155</v>
      </c>
      <c r="C256" s="368"/>
      <c r="D256" s="411" t="str">
        <f>"  Preferred Stock (ln "&amp;B249&amp;")"</f>
        <v xml:space="preserve">  Preferred Stock (ln 149)</v>
      </c>
      <c r="F256" s="333"/>
      <c r="G256" s="376">
        <f>+L249</f>
        <v>0</v>
      </c>
      <c r="H256" s="518">
        <f>IF($G$258&gt;0,G256/$G$258,0)</f>
        <v>0</v>
      </c>
      <c r="I256" s="518">
        <f>H256</f>
        <v>0</v>
      </c>
      <c r="J256" s="519">
        <f>IF(G256&gt;0,L246/G256,0)</f>
        <v>0</v>
      </c>
      <c r="K256" s="333"/>
      <c r="L256" s="522">
        <f>H256*J256</f>
        <v>0</v>
      </c>
      <c r="M256" s="340"/>
    </row>
    <row r="257" spans="2:21" ht="15.75" thickBot="1">
      <c r="B257" s="342">
        <f>+B256+1</f>
        <v>156</v>
      </c>
      <c r="C257" s="368"/>
      <c r="D257" s="411" t="str">
        <f>"  Common Stock (ln "&amp;B252&amp;")"</f>
        <v xml:space="preserve">  Common Stock (ln 152)</v>
      </c>
      <c r="F257" s="333"/>
      <c r="G257" s="412">
        <f>+L252</f>
        <v>3515958548.5823913</v>
      </c>
      <c r="H257" s="518">
        <f>IF($G$258&gt;0,G257/$G$258,0)</f>
        <v>0.54328415064894564</v>
      </c>
      <c r="I257" s="518">
        <f>IF(H257&gt;E260,E260,H257)</f>
        <v>0.54328415064894564</v>
      </c>
      <c r="J257" s="835">
        <v>0.10349999999999999</v>
      </c>
      <c r="K257" s="333"/>
      <c r="L257" s="523">
        <f>H257*J257</f>
        <v>5.6229909592165873E-2</v>
      </c>
      <c r="M257" s="340"/>
    </row>
    <row r="258" spans="2:21" ht="15.75">
      <c r="B258" s="342">
        <f>+B257+1</f>
        <v>157</v>
      </c>
      <c r="C258" s="368"/>
      <c r="D258" s="411" t="str">
        <f>" Total (Sum lns "&amp;B255&amp;" to "&amp;B257&amp;")"</f>
        <v xml:space="preserve"> Total (Sum lns 154 to 156)</v>
      </c>
      <c r="F258" s="333"/>
      <c r="G258" s="376">
        <f>G257+G256+G255</f>
        <v>6471675171.0548258</v>
      </c>
      <c r="I258" s="514"/>
      <c r="J258" s="524"/>
      <c r="K258" s="425" t="s">
        <v>25</v>
      </c>
      <c r="L258" s="525">
        <f>SUM(L255:L257)</f>
        <v>7.6884997005828432E-2</v>
      </c>
      <c r="M258" s="526"/>
    </row>
    <row r="259" spans="2:21" ht="15.75">
      <c r="B259" s="342"/>
      <c r="C259" s="368"/>
      <c r="D259" s="411"/>
      <c r="F259" s="333"/>
      <c r="G259" s="376"/>
      <c r="I259" s="514"/>
      <c r="J259" s="524"/>
      <c r="K259" s="425"/>
      <c r="L259" s="525"/>
      <c r="M259" s="526"/>
    </row>
    <row r="260" spans="2:21" ht="15.75">
      <c r="B260" s="367">
        <f>B258+1</f>
        <v>158</v>
      </c>
      <c r="C260" s="533"/>
      <c r="D260" s="533" t="s">
        <v>952</v>
      </c>
      <c r="E260" s="1256">
        <v>0.55000000000000004</v>
      </c>
      <c r="F260" s="333"/>
      <c r="G260" s="376"/>
      <c r="I260" s="514"/>
      <c r="J260" s="524"/>
      <c r="K260" s="425"/>
      <c r="L260" s="525"/>
      <c r="M260" s="526"/>
    </row>
    <row r="261" spans="2:21">
      <c r="B261" s="342"/>
      <c r="C261" s="383"/>
      <c r="D261" s="383"/>
      <c r="E261" s="345"/>
      <c r="F261" s="345"/>
      <c r="G261" s="345"/>
      <c r="H261" s="345"/>
      <c r="I261" s="345"/>
      <c r="J261" s="340"/>
      <c r="K261" s="337"/>
      <c r="L261" s="340"/>
      <c r="M261" s="337"/>
      <c r="N261" s="353"/>
      <c r="O261" s="353"/>
      <c r="P261" s="353"/>
      <c r="Q261" s="353"/>
      <c r="R261" s="353"/>
      <c r="S261" s="353"/>
      <c r="T261" s="353"/>
      <c r="U261" s="353"/>
    </row>
    <row r="262" spans="2:21" ht="15.75">
      <c r="B262" s="435"/>
      <c r="C262" s="343"/>
      <c r="D262" s="330"/>
      <c r="E262" s="330"/>
      <c r="F262" s="437" t="str">
        <f>F216</f>
        <v xml:space="preserve">AEP East Companies </v>
      </c>
      <c r="G262" s="331"/>
      <c r="H262" s="340"/>
      <c r="I262" s="340"/>
      <c r="J262" s="340"/>
      <c r="K262" s="337"/>
      <c r="L262" s="340"/>
      <c r="M262" s="527"/>
      <c r="N262" s="353"/>
      <c r="O262" s="353"/>
      <c r="P262" s="353"/>
      <c r="Q262" s="353"/>
      <c r="R262" s="353"/>
      <c r="S262" s="353"/>
      <c r="T262" s="353"/>
      <c r="U262" s="353"/>
    </row>
    <row r="263" spans="2:21">
      <c r="B263" s="435"/>
      <c r="C263" s="343"/>
      <c r="D263" s="528"/>
      <c r="E263" s="343"/>
      <c r="F263" s="437" t="str">
        <f>F217</f>
        <v>Transmission Cost of Service Formula Rate</v>
      </c>
      <c r="G263" s="340"/>
      <c r="H263" s="340"/>
      <c r="I263" s="340"/>
      <c r="J263" s="340"/>
      <c r="K263" s="337"/>
      <c r="L263" s="356"/>
      <c r="M263" s="393"/>
      <c r="N263" s="353"/>
      <c r="O263" s="353"/>
      <c r="P263" s="353"/>
      <c r="Q263" s="353"/>
      <c r="R263" s="353"/>
      <c r="S263" s="353"/>
      <c r="T263" s="353"/>
      <c r="U263" s="353"/>
    </row>
    <row r="264" spans="2:21" ht="15.75">
      <c r="B264" s="435"/>
      <c r="C264" s="343"/>
      <c r="D264" s="528"/>
      <c r="E264" s="443"/>
      <c r="F264" s="437" t="str">
        <f>F218</f>
        <v>Utilizing  Actual/Projected FERC Form 1 Data</v>
      </c>
      <c r="G264" s="340"/>
      <c r="H264" s="340"/>
      <c r="I264" s="340"/>
      <c r="J264" s="340"/>
      <c r="K264" s="337"/>
      <c r="L264" s="356"/>
      <c r="M264" s="527"/>
      <c r="N264" s="353"/>
      <c r="O264" s="353"/>
      <c r="P264" s="353"/>
      <c r="Q264" s="353"/>
      <c r="R264" s="353"/>
      <c r="S264" s="353"/>
      <c r="T264" s="353"/>
      <c r="U264" s="353"/>
    </row>
    <row r="265" spans="2:21" ht="15.75">
      <c r="B265" s="342"/>
      <c r="C265" s="343"/>
      <c r="D265" s="528"/>
      <c r="E265" s="443"/>
      <c r="F265" s="437"/>
      <c r="G265" s="340"/>
      <c r="H265" s="340"/>
      <c r="I265" s="340"/>
      <c r="J265" s="340"/>
      <c r="K265" s="337"/>
      <c r="L265" s="356"/>
      <c r="M265" s="333"/>
      <c r="N265" s="353"/>
      <c r="O265" s="353"/>
      <c r="P265" s="353"/>
      <c r="Q265" s="353"/>
      <c r="R265" s="353"/>
      <c r="S265" s="353"/>
      <c r="T265" s="353"/>
      <c r="U265" s="353"/>
    </row>
    <row r="266" spans="2:21" ht="15.75">
      <c r="B266" s="342"/>
      <c r="C266" s="343"/>
      <c r="D266" s="528"/>
      <c r="E266" s="443"/>
      <c r="F266" s="437" t="str">
        <f>F220</f>
        <v xml:space="preserve">Indiana Michigan Power Company </v>
      </c>
      <c r="G266" s="340"/>
      <c r="H266" s="340"/>
      <c r="I266" s="340"/>
      <c r="J266" s="340"/>
      <c r="K266" s="337"/>
      <c r="L266" s="356"/>
      <c r="M266" s="333"/>
      <c r="N266" s="353"/>
      <c r="O266" s="353" t="s">
        <v>115</v>
      </c>
      <c r="P266" s="353"/>
      <c r="Q266" s="353"/>
      <c r="R266" s="353"/>
      <c r="S266" s="353"/>
      <c r="T266" s="353"/>
      <c r="U266" s="353"/>
    </row>
    <row r="267" spans="2:21" ht="15.75">
      <c r="B267" s="342"/>
      <c r="C267" s="343"/>
      <c r="D267" s="528"/>
      <c r="E267" s="443"/>
      <c r="F267" s="437"/>
      <c r="G267" s="340"/>
      <c r="H267" s="340"/>
      <c r="I267" s="340"/>
      <c r="J267" s="340"/>
      <c r="K267" s="337"/>
      <c r="L267" s="356"/>
      <c r="M267" s="333"/>
      <c r="N267" s="353"/>
      <c r="O267" s="353"/>
      <c r="P267" s="353"/>
      <c r="Q267" s="353"/>
      <c r="R267" s="353"/>
      <c r="S267" s="353"/>
      <c r="T267" s="353"/>
      <c r="U267" s="353"/>
    </row>
    <row r="268" spans="2:21" ht="15.75">
      <c r="B268" s="529" t="s">
        <v>177</v>
      </c>
      <c r="C268" s="350"/>
      <c r="D268" s="379"/>
      <c r="E268" s="353"/>
      <c r="F268" s="529" t="s">
        <v>176</v>
      </c>
      <c r="G268" s="358"/>
      <c r="H268" s="358"/>
      <c r="I268" s="358"/>
      <c r="J268" s="358"/>
      <c r="K268" s="353"/>
      <c r="L268" s="358"/>
      <c r="M268" s="333"/>
      <c r="N268" s="353"/>
      <c r="O268" s="353"/>
      <c r="P268" s="353"/>
      <c r="Q268" s="353"/>
      <c r="R268" s="353"/>
      <c r="S268" s="353"/>
      <c r="T268" s="353"/>
      <c r="U268" s="353"/>
    </row>
    <row r="269" spans="2:21">
      <c r="C269" s="350"/>
      <c r="L269" s="356"/>
      <c r="M269" s="333"/>
      <c r="N269" s="353"/>
      <c r="O269" s="353"/>
      <c r="P269" s="353"/>
      <c r="Q269" s="353"/>
      <c r="R269" s="353"/>
      <c r="S269" s="353"/>
      <c r="T269" s="353"/>
      <c r="U269" s="353"/>
    </row>
    <row r="270" spans="2:21">
      <c r="B270" s="342"/>
      <c r="C270" s="343"/>
      <c r="D270" s="334" t="s">
        <v>5</v>
      </c>
      <c r="E270" s="368"/>
      <c r="F270" s="368"/>
      <c r="G270" s="358"/>
      <c r="H270" s="358"/>
      <c r="I270" s="358"/>
      <c r="J270" s="358"/>
      <c r="K270" s="353"/>
      <c r="L270" s="358"/>
      <c r="M270" s="353"/>
      <c r="N270" s="353"/>
      <c r="O270" s="353"/>
      <c r="P270" s="353"/>
      <c r="Q270" s="353"/>
      <c r="R270" s="353"/>
      <c r="S270" s="353"/>
      <c r="T270" s="353"/>
      <c r="U270" s="353"/>
    </row>
    <row r="271" spans="2:21">
      <c r="B271" s="328"/>
      <c r="D271" s="379"/>
      <c r="E271" s="353"/>
      <c r="F271" s="353"/>
      <c r="G271" s="358"/>
      <c r="H271" s="358"/>
      <c r="I271" s="358"/>
      <c r="J271" s="358"/>
      <c r="K271" s="353"/>
      <c r="L271" s="358"/>
      <c r="M271" s="353"/>
      <c r="N271" s="353"/>
      <c r="O271" s="353"/>
      <c r="P271" s="353"/>
      <c r="Q271" s="353"/>
      <c r="R271" s="353"/>
      <c r="S271" s="353"/>
      <c r="T271" s="353"/>
      <c r="U271" s="353"/>
    </row>
    <row r="272" spans="2:21" ht="3.75" customHeight="1">
      <c r="B272" s="328"/>
      <c r="D272" s="379"/>
      <c r="E272" s="353"/>
      <c r="F272" s="353"/>
      <c r="G272" s="358"/>
      <c r="H272" s="358"/>
      <c r="I272" s="358"/>
      <c r="J272" s="358"/>
      <c r="K272" s="353"/>
      <c r="L272" s="358"/>
      <c r="M272" s="353"/>
      <c r="N272" s="353"/>
      <c r="O272" s="353"/>
      <c r="P272" s="353"/>
      <c r="Q272" s="353"/>
      <c r="R272" s="353"/>
      <c r="S272" s="353"/>
      <c r="T272" s="353"/>
      <c r="U272" s="353"/>
    </row>
    <row r="273" spans="2:21">
      <c r="B273" s="530" t="s">
        <v>149</v>
      </c>
      <c r="C273" s="350"/>
      <c r="D273" s="379" t="s">
        <v>478</v>
      </c>
      <c r="E273" s="353"/>
      <c r="F273" s="353"/>
      <c r="G273" s="358"/>
      <c r="H273" s="358"/>
      <c r="I273" s="358"/>
      <c r="J273" s="358"/>
      <c r="K273" s="353"/>
      <c r="L273" s="358"/>
      <c r="M273" s="353"/>
      <c r="N273" s="353"/>
      <c r="O273" s="353"/>
      <c r="P273" s="353"/>
      <c r="Q273" s="353"/>
      <c r="R273" s="353"/>
      <c r="S273" s="353"/>
      <c r="T273" s="353"/>
      <c r="U273" s="353"/>
    </row>
    <row r="274" spans="2:21">
      <c r="B274" s="530"/>
      <c r="C274" s="438"/>
      <c r="D274" s="379" t="s">
        <v>370</v>
      </c>
      <c r="E274" s="353"/>
      <c r="F274" s="353"/>
      <c r="G274" s="353"/>
      <c r="H274" s="353"/>
      <c r="I274" s="353"/>
      <c r="J274" s="353"/>
      <c r="K274" s="353"/>
      <c r="L274" s="353"/>
      <c r="M274" s="353"/>
      <c r="N274" s="353"/>
      <c r="O274" s="353"/>
      <c r="P274" s="353"/>
      <c r="Q274" s="353"/>
      <c r="R274" s="353"/>
      <c r="S274" s="353"/>
      <c r="T274" s="353"/>
      <c r="U274" s="353"/>
    </row>
    <row r="275" spans="2:21">
      <c r="B275" s="531"/>
      <c r="C275" s="333"/>
      <c r="D275" s="328" t="s">
        <v>371</v>
      </c>
      <c r="E275" s="532"/>
      <c r="F275" s="532"/>
      <c r="G275" s="353"/>
      <c r="H275" s="353"/>
      <c r="I275" s="353"/>
      <c r="J275" s="353"/>
      <c r="K275" s="353"/>
      <c r="L275" s="353"/>
      <c r="M275" s="353"/>
      <c r="N275" s="353"/>
      <c r="O275" s="353"/>
      <c r="P275" s="353"/>
      <c r="Q275" s="353"/>
      <c r="R275" s="353"/>
      <c r="S275" s="353"/>
      <c r="T275" s="353"/>
      <c r="U275" s="353"/>
    </row>
    <row r="276" spans="2:21">
      <c r="B276" s="531"/>
      <c r="C276" s="333"/>
      <c r="D276" s="379" t="s">
        <v>479</v>
      </c>
      <c r="E276" s="353"/>
      <c r="F276" s="353"/>
      <c r="G276" s="353"/>
      <c r="H276" s="353"/>
      <c r="I276" s="353"/>
      <c r="J276" s="353"/>
      <c r="K276" s="353"/>
      <c r="L276" s="353"/>
      <c r="M276" s="353"/>
      <c r="N276" s="353"/>
      <c r="O276" s="353"/>
      <c r="P276" s="353"/>
      <c r="Q276" s="353"/>
      <c r="R276" s="353"/>
      <c r="S276" s="353"/>
      <c r="T276" s="353"/>
      <c r="U276" s="353"/>
    </row>
    <row r="277" spans="2:21">
      <c r="B277" s="367"/>
      <c r="C277" s="368"/>
      <c r="D277" s="379" t="s">
        <v>480</v>
      </c>
      <c r="E277" s="353"/>
      <c r="F277" s="353"/>
      <c r="G277" s="353"/>
      <c r="H277" s="353"/>
      <c r="I277" s="353"/>
      <c r="J277" s="353"/>
      <c r="K277" s="353"/>
      <c r="L277" s="353"/>
      <c r="M277" s="353"/>
      <c r="N277" s="353"/>
      <c r="O277" s="353"/>
      <c r="P277" s="353"/>
      <c r="Q277" s="353"/>
      <c r="R277" s="353"/>
      <c r="S277" s="353"/>
      <c r="T277" s="353"/>
      <c r="U277" s="353"/>
    </row>
    <row r="278" spans="2:21">
      <c r="B278" s="367"/>
      <c r="C278" s="368"/>
      <c r="D278" s="379" t="s">
        <v>372</v>
      </c>
      <c r="E278" s="353"/>
      <c r="F278" s="353"/>
      <c r="G278" s="353"/>
      <c r="H278" s="353"/>
      <c r="I278" s="353"/>
      <c r="J278" s="353"/>
      <c r="K278" s="353"/>
      <c r="L278" s="353"/>
      <c r="M278" s="353"/>
      <c r="N278" s="353"/>
      <c r="O278" s="353"/>
      <c r="P278" s="353"/>
      <c r="Q278" s="353"/>
      <c r="R278" s="353"/>
      <c r="S278" s="353"/>
      <c r="T278" s="353"/>
      <c r="U278" s="353"/>
    </row>
    <row r="279" spans="2:21">
      <c r="B279" s="367"/>
      <c r="C279" s="368"/>
      <c r="D279" s="379" t="s">
        <v>373</v>
      </c>
      <c r="E279" s="353"/>
      <c r="F279" s="353"/>
      <c r="G279" s="353"/>
      <c r="H279" s="353"/>
      <c r="I279" s="353"/>
      <c r="J279" s="353"/>
      <c r="K279" s="353"/>
      <c r="L279" s="353"/>
      <c r="M279" s="353"/>
      <c r="N279" s="353"/>
      <c r="O279" s="353"/>
      <c r="P279" s="353"/>
      <c r="Q279" s="353"/>
      <c r="R279" s="353"/>
      <c r="S279" s="353"/>
      <c r="T279" s="353"/>
      <c r="U279" s="353"/>
    </row>
    <row r="280" spans="2:21" ht="45" customHeight="1">
      <c r="B280" s="367"/>
      <c r="C280" s="368"/>
      <c r="D280" s="1520" t="s">
        <v>577</v>
      </c>
      <c r="E280" s="1520"/>
      <c r="F280" s="1520"/>
      <c r="G280" s="1520"/>
      <c r="H280" s="1520"/>
      <c r="I280" s="1520"/>
      <c r="J280" s="1520"/>
      <c r="K280" s="1520"/>
      <c r="L280" s="1520"/>
      <c r="M280" s="353"/>
      <c r="N280" s="353"/>
      <c r="O280" s="353"/>
      <c r="P280" s="353"/>
      <c r="Q280" s="353"/>
      <c r="R280" s="353"/>
      <c r="S280" s="353"/>
      <c r="T280" s="353"/>
      <c r="U280" s="353"/>
    </row>
    <row r="281" spans="2:21">
      <c r="B281" s="367"/>
      <c r="C281" s="368"/>
      <c r="D281" s="379" t="s">
        <v>488</v>
      </c>
      <c r="E281" s="353"/>
      <c r="F281" s="353"/>
      <c r="G281" s="353"/>
      <c r="H281" s="353"/>
      <c r="I281" s="353"/>
      <c r="J281" s="353"/>
      <c r="K281" s="353"/>
      <c r="L281" s="353"/>
      <c r="M281" s="353"/>
      <c r="N281" s="353"/>
      <c r="O281" s="353"/>
      <c r="P281" s="353"/>
      <c r="Q281" s="353"/>
      <c r="R281" s="353"/>
      <c r="S281" s="353"/>
      <c r="T281" s="353"/>
      <c r="U281" s="353"/>
    </row>
    <row r="282" spans="2:21">
      <c r="B282" s="367"/>
      <c r="C282" s="368"/>
      <c r="D282" s="533"/>
      <c r="E282" s="353"/>
      <c r="F282" s="353"/>
      <c r="G282" s="353"/>
      <c r="H282" s="353"/>
      <c r="I282" s="353"/>
      <c r="J282" s="353"/>
      <c r="K282" s="353"/>
      <c r="L282" s="379"/>
      <c r="M282" s="353"/>
      <c r="N282" s="353"/>
      <c r="O282" s="353"/>
      <c r="P282" s="353"/>
      <c r="Q282" s="353"/>
      <c r="R282" s="353"/>
      <c r="S282" s="353"/>
      <c r="T282" s="353"/>
      <c r="U282" s="353"/>
    </row>
    <row r="283" spans="2:21" ht="15" customHeight="1">
      <c r="B283" s="367" t="s">
        <v>150</v>
      </c>
      <c r="C283" s="368"/>
      <c r="D283" s="1536" t="s">
        <v>596</v>
      </c>
      <c r="E283" s="1537"/>
      <c r="F283" s="1537"/>
      <c r="G283" s="1537"/>
      <c r="H283" s="1537"/>
      <c r="I283" s="1537"/>
      <c r="J283" s="1537"/>
      <c r="K283" s="1537"/>
      <c r="L283" s="379"/>
      <c r="M283" s="353"/>
      <c r="N283" s="353"/>
      <c r="O283" s="353"/>
      <c r="P283" s="353"/>
      <c r="Q283" s="353"/>
      <c r="R283" s="353"/>
      <c r="S283" s="353"/>
      <c r="T283" s="353"/>
      <c r="U283" s="353"/>
    </row>
    <row r="284" spans="2:21">
      <c r="B284" s="367"/>
      <c r="C284" s="368"/>
      <c r="D284" s="1537"/>
      <c r="E284" s="1537"/>
      <c r="F284" s="1537"/>
      <c r="G284" s="1537"/>
      <c r="H284" s="1537"/>
      <c r="I284" s="1537"/>
      <c r="J284" s="1537"/>
      <c r="K284" s="1537"/>
      <c r="L284" s="379"/>
      <c r="M284" s="353"/>
      <c r="N284" s="353"/>
      <c r="O284" s="353"/>
      <c r="P284" s="353"/>
      <c r="Q284" s="353"/>
      <c r="R284" s="353"/>
      <c r="S284" s="353"/>
      <c r="T284" s="353"/>
      <c r="U284" s="353"/>
    </row>
    <row r="285" spans="2:21">
      <c r="E285" s="353"/>
      <c r="F285" s="353"/>
      <c r="G285" s="353"/>
      <c r="H285" s="353"/>
      <c r="I285" s="353"/>
      <c r="J285" s="353"/>
      <c r="K285" s="353"/>
      <c r="L285" s="353"/>
      <c r="M285" s="353"/>
      <c r="N285" s="353"/>
      <c r="O285" s="353"/>
      <c r="P285" s="353"/>
      <c r="Q285" s="353"/>
      <c r="R285" s="353"/>
      <c r="S285" s="353"/>
      <c r="T285" s="353"/>
      <c r="U285" s="353"/>
    </row>
    <row r="286" spans="2:21">
      <c r="B286" s="367" t="s">
        <v>151</v>
      </c>
      <c r="C286" s="368"/>
      <c r="D286" s="534" t="s">
        <v>854</v>
      </c>
      <c r="E286" s="353"/>
      <c r="F286" s="353"/>
      <c r="G286" s="353"/>
      <c r="H286" s="353"/>
      <c r="I286" s="353"/>
      <c r="J286" s="353"/>
      <c r="K286" s="353"/>
      <c r="L286" s="353"/>
      <c r="M286" s="353"/>
      <c r="N286" s="353"/>
      <c r="O286" s="353"/>
      <c r="P286" s="353"/>
      <c r="Q286" s="353"/>
      <c r="R286" s="353"/>
      <c r="S286" s="353"/>
      <c r="T286" s="353"/>
      <c r="U286" s="353"/>
    </row>
    <row r="287" spans="2:21">
      <c r="B287" s="367"/>
      <c r="C287" s="368"/>
      <c r="D287" s="534"/>
      <c r="E287" s="353"/>
      <c r="F287" s="353"/>
      <c r="G287" s="353"/>
      <c r="H287" s="353"/>
      <c r="I287" s="353"/>
      <c r="J287" s="353"/>
      <c r="K287" s="353"/>
      <c r="L287" s="353"/>
      <c r="M287" s="353"/>
      <c r="N287" s="353"/>
      <c r="O287" s="353"/>
      <c r="P287" s="353"/>
      <c r="Q287" s="353"/>
      <c r="R287" s="353"/>
      <c r="S287" s="353"/>
      <c r="T287" s="353"/>
      <c r="U287" s="353"/>
    </row>
    <row r="288" spans="2:21">
      <c r="B288" s="367" t="s">
        <v>152</v>
      </c>
      <c r="C288" s="368"/>
      <c r="D288" s="1520" t="s">
        <v>579</v>
      </c>
      <c r="E288" s="1520"/>
      <c r="F288" s="1520"/>
      <c r="G288" s="1520"/>
      <c r="H288" s="1520"/>
      <c r="I288" s="1520"/>
      <c r="J288" s="1520"/>
      <c r="K288" s="1520"/>
      <c r="L288" s="1520"/>
      <c r="M288" s="353"/>
      <c r="N288" s="353"/>
      <c r="O288" s="353"/>
      <c r="P288" s="379"/>
      <c r="Q288" s="379"/>
      <c r="R288" s="353"/>
      <c r="S288" s="353"/>
      <c r="T288" s="353"/>
      <c r="U288" s="353"/>
    </row>
    <row r="289" spans="2:21">
      <c r="B289" s="367"/>
      <c r="C289" s="368"/>
      <c r="D289" s="1520"/>
      <c r="E289" s="1520"/>
      <c r="F289" s="1520"/>
      <c r="G289" s="1520"/>
      <c r="H289" s="1520"/>
      <c r="I289" s="1520"/>
      <c r="J289" s="1520"/>
      <c r="K289" s="1520"/>
      <c r="L289" s="1520"/>
      <c r="M289" s="353"/>
      <c r="N289" s="353"/>
      <c r="O289" s="353"/>
      <c r="P289" s="379"/>
      <c r="Q289" s="379"/>
      <c r="R289" s="353"/>
      <c r="S289" s="353"/>
      <c r="T289" s="353"/>
      <c r="U289" s="353"/>
    </row>
    <row r="290" spans="2:21">
      <c r="B290" s="367"/>
      <c r="C290" s="368"/>
      <c r="D290" s="379" t="s">
        <v>580</v>
      </c>
      <c r="E290" s="353"/>
      <c r="F290" s="353"/>
      <c r="G290" s="353"/>
      <c r="H290" s="353"/>
      <c r="I290" s="353"/>
      <c r="J290" s="353"/>
      <c r="K290" s="353"/>
      <c r="L290" s="490"/>
      <c r="M290" s="353"/>
      <c r="N290" s="353"/>
      <c r="O290" s="353"/>
      <c r="P290" s="379"/>
      <c r="Q290" s="379"/>
      <c r="R290" s="353"/>
      <c r="S290" s="353"/>
      <c r="T290" s="353"/>
      <c r="U290" s="353"/>
    </row>
    <row r="291" spans="2:21">
      <c r="B291" s="367"/>
      <c r="C291" s="368"/>
      <c r="D291" s="379" t="s">
        <v>581</v>
      </c>
      <c r="E291" s="353"/>
      <c r="F291" s="353"/>
      <c r="G291" s="353"/>
      <c r="H291" s="353"/>
      <c r="I291" s="353"/>
      <c r="J291" s="353"/>
      <c r="K291" s="353"/>
      <c r="L291" s="490"/>
      <c r="M291" s="353"/>
      <c r="N291" s="353"/>
      <c r="O291" s="353"/>
      <c r="P291" s="379"/>
      <c r="Q291" s="353"/>
      <c r="R291" s="353"/>
      <c r="S291" s="353"/>
      <c r="T291" s="353"/>
      <c r="U291" s="353"/>
    </row>
    <row r="292" spans="2:21" ht="30" customHeight="1">
      <c r="B292" s="367"/>
      <c r="C292" s="368"/>
      <c r="D292" s="1520" t="s">
        <v>578</v>
      </c>
      <c r="E292" s="1520"/>
      <c r="F292" s="1520"/>
      <c r="G292" s="1520"/>
      <c r="H292" s="1520"/>
      <c r="I292" s="1520"/>
      <c r="J292" s="1520"/>
      <c r="K292" s="1520"/>
      <c r="L292" s="1520"/>
      <c r="M292" s="353"/>
      <c r="N292" s="353"/>
      <c r="O292" s="353"/>
      <c r="P292" s="379"/>
      <c r="Q292" s="353"/>
      <c r="R292" s="353"/>
      <c r="S292" s="353"/>
      <c r="T292" s="353"/>
      <c r="U292" s="353"/>
    </row>
    <row r="293" spans="2:21" ht="21.75" customHeight="1">
      <c r="B293" s="367" t="s">
        <v>153</v>
      </c>
      <c r="C293" s="379"/>
      <c r="D293" s="379"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35"/>
      <c r="F293" s="535"/>
      <c r="G293" s="535"/>
      <c r="H293" s="535"/>
      <c r="I293" s="535"/>
      <c r="J293" s="535"/>
      <c r="K293" s="535"/>
      <c r="L293" s="535"/>
      <c r="M293" s="353"/>
      <c r="N293" s="353"/>
      <c r="O293" s="353"/>
      <c r="P293" s="353"/>
      <c r="Q293" s="353"/>
      <c r="R293" s="353"/>
      <c r="S293" s="353"/>
      <c r="T293" s="353"/>
      <c r="U293" s="353"/>
    </row>
    <row r="294" spans="2:21">
      <c r="B294" s="367"/>
      <c r="C294" s="379"/>
      <c r="D294" s="536"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13"/>
      <c r="F294" s="413"/>
      <c r="G294" s="413"/>
      <c r="H294" s="413"/>
      <c r="I294" s="413"/>
      <c r="J294" s="413"/>
      <c r="K294" s="413"/>
      <c r="L294" s="413"/>
      <c r="M294" s="353"/>
      <c r="N294" s="353"/>
      <c r="O294" s="353"/>
      <c r="P294" s="353"/>
      <c r="Q294" s="353"/>
      <c r="R294" s="353"/>
      <c r="S294" s="353"/>
      <c r="T294" s="353"/>
      <c r="U294" s="353"/>
    </row>
    <row r="295" spans="2:21">
      <c r="B295" s="367"/>
      <c r="C295" s="379"/>
      <c r="D295" s="537" t="str">
        <f>+"2)  Costs of Transmission of Electricity by Others, as described in Note H."</f>
        <v>2)  Costs of Transmission of Electricity by Others, as described in Note H.</v>
      </c>
      <c r="E295" s="535"/>
      <c r="F295" s="535"/>
      <c r="G295" s="535"/>
      <c r="H295" s="535"/>
      <c r="I295" s="535"/>
      <c r="J295" s="535"/>
      <c r="K295" s="535"/>
      <c r="L295" s="535"/>
      <c r="M295" s="353"/>
      <c r="N295" s="353"/>
      <c r="O295" s="353"/>
      <c r="P295" s="353"/>
      <c r="Q295" s="353"/>
      <c r="R295" s="353"/>
      <c r="S295" s="353"/>
      <c r="T295" s="353"/>
      <c r="U295" s="353"/>
    </row>
    <row r="296" spans="2:21">
      <c r="B296" s="367"/>
      <c r="C296" s="379"/>
      <c r="D296" s="536" t="str">
        <f>+"3)  The impact of state regulatory deferrals and amortizations, as shown on line  "&amp;B148&amp;""</f>
        <v>3)  The impact of state regulatory deferrals and amortizations, as shown on line  77</v>
      </c>
      <c r="E296" s="413"/>
      <c r="F296" s="413"/>
      <c r="G296" s="413"/>
      <c r="H296" s="413"/>
      <c r="I296" s="413"/>
      <c r="J296" s="413"/>
      <c r="K296" s="413"/>
      <c r="L296" s="413"/>
      <c r="M296" s="353"/>
      <c r="N296" s="353"/>
      <c r="O296" s="353"/>
      <c r="P296" s="353"/>
      <c r="Q296" s="353"/>
      <c r="R296" s="353"/>
      <c r="S296" s="353"/>
      <c r="T296" s="353"/>
      <c r="U296" s="353"/>
    </row>
    <row r="297" spans="2:21">
      <c r="B297" s="367"/>
      <c r="C297" s="413"/>
      <c r="D297" s="537" t="str">
        <f>"4) All A&amp;G Expenses, as shown on line "&amp;B165&amp;"."</f>
        <v>4) All A&amp;G Expenses, as shown on line 93.</v>
      </c>
      <c r="E297" s="535"/>
      <c r="F297" s="535"/>
      <c r="G297" s="535"/>
      <c r="H297" s="535"/>
      <c r="I297" s="535"/>
      <c r="J297" s="535"/>
      <c r="K297" s="535"/>
      <c r="L297" s="535"/>
      <c r="M297" s="353"/>
      <c r="N297" s="353"/>
      <c r="O297" s="353"/>
      <c r="P297" s="353"/>
      <c r="Q297" s="353"/>
      <c r="R297" s="353"/>
      <c r="S297" s="353"/>
      <c r="T297" s="353"/>
      <c r="U297" s="353"/>
    </row>
    <row r="298" spans="2:21">
      <c r="B298" s="367"/>
      <c r="C298" s="368"/>
      <c r="D298" s="536"/>
      <c r="E298" s="538"/>
      <c r="F298" s="538"/>
      <c r="G298" s="538"/>
      <c r="H298" s="538"/>
      <c r="I298" s="538"/>
      <c r="J298" s="538"/>
      <c r="K298" s="538"/>
      <c r="L298" s="538"/>
      <c r="M298" s="353"/>
      <c r="N298" s="353"/>
      <c r="O298" s="353"/>
      <c r="P298" s="353"/>
      <c r="Q298" s="353"/>
      <c r="R298" s="353"/>
      <c r="S298" s="353"/>
      <c r="T298" s="353"/>
      <c r="U298" s="353"/>
    </row>
    <row r="299" spans="2:21">
      <c r="B299" s="530" t="s">
        <v>154</v>
      </c>
      <c r="C299" s="438"/>
      <c r="D299" s="539"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39"/>
      <c r="F299" s="539"/>
      <c r="G299" s="539"/>
      <c r="H299" s="539"/>
      <c r="I299" s="539"/>
      <c r="J299" s="539"/>
      <c r="K299" s="539"/>
      <c r="L299" s="539"/>
      <c r="M299" s="353"/>
      <c r="N299" s="353"/>
      <c r="O299" s="353"/>
      <c r="P299" s="353"/>
      <c r="Q299" s="353"/>
      <c r="R299" s="353"/>
      <c r="S299" s="353"/>
      <c r="T299" s="353"/>
      <c r="U299" s="353"/>
    </row>
    <row r="300" spans="2:21">
      <c r="B300" s="531"/>
      <c r="C300" s="333"/>
      <c r="D300" s="539" t="s">
        <v>219</v>
      </c>
      <c r="E300" s="539"/>
      <c r="F300" s="539"/>
      <c r="G300" s="539"/>
      <c r="H300" s="539"/>
      <c r="I300" s="539"/>
      <c r="J300" s="539"/>
      <c r="K300" s="539"/>
      <c r="L300" s="539"/>
      <c r="M300" s="353"/>
      <c r="N300" s="353"/>
      <c r="O300" s="353"/>
      <c r="P300" s="353"/>
      <c r="Q300" s="353"/>
      <c r="R300" s="353"/>
      <c r="S300" s="353"/>
      <c r="T300" s="353"/>
      <c r="U300" s="353"/>
    </row>
    <row r="301" spans="2:21">
      <c r="B301" s="531"/>
      <c r="C301" s="333"/>
      <c r="D301" s="539" t="str">
        <f>"expense is included on line "&amp;B207&amp;"."</f>
        <v>expense is included on line 127.</v>
      </c>
      <c r="E301" s="539"/>
      <c r="F301" s="539"/>
      <c r="G301" s="539"/>
      <c r="H301" s="539"/>
      <c r="I301" s="539"/>
      <c r="J301" s="539"/>
      <c r="K301" s="539"/>
      <c r="L301" s="539"/>
      <c r="M301" s="353"/>
      <c r="N301" s="353"/>
      <c r="O301" s="353"/>
      <c r="P301" s="353"/>
      <c r="Q301" s="353"/>
      <c r="R301" s="353"/>
      <c r="S301" s="353"/>
      <c r="T301" s="353"/>
      <c r="U301" s="353"/>
    </row>
    <row r="302" spans="2:21">
      <c r="B302" s="531"/>
      <c r="C302" s="333"/>
      <c r="D302" s="539"/>
      <c r="E302" s="539"/>
      <c r="F302" s="539"/>
      <c r="G302" s="539"/>
      <c r="H302" s="539"/>
      <c r="I302" s="539"/>
      <c r="J302" s="539"/>
      <c r="K302" s="539"/>
      <c r="L302" s="539"/>
      <c r="M302" s="333"/>
      <c r="N302" s="353"/>
      <c r="O302" s="353"/>
      <c r="P302" s="353"/>
      <c r="Q302" s="353"/>
      <c r="R302" s="353"/>
      <c r="S302" s="353"/>
      <c r="T302" s="353"/>
      <c r="U302" s="353"/>
    </row>
    <row r="303" spans="2:21">
      <c r="B303" s="530" t="s">
        <v>155</v>
      </c>
      <c r="C303" s="333"/>
      <c r="D303" s="1546"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46"/>
      <c r="F303" s="1546"/>
      <c r="G303" s="1546"/>
      <c r="H303" s="1546"/>
      <c r="I303" s="1546"/>
      <c r="J303" s="1546"/>
      <c r="K303" s="1546"/>
      <c r="L303" s="539"/>
      <c r="M303" s="333"/>
      <c r="N303" s="353"/>
      <c r="O303" s="353"/>
      <c r="P303" s="353"/>
      <c r="Q303" s="353"/>
      <c r="R303" s="353"/>
      <c r="S303" s="353"/>
      <c r="T303" s="353"/>
      <c r="U303" s="353"/>
    </row>
    <row r="304" spans="2:21">
      <c r="B304" s="530"/>
      <c r="C304" s="333"/>
      <c r="D304" s="1546"/>
      <c r="E304" s="1546"/>
      <c r="F304" s="1546"/>
      <c r="G304" s="1546"/>
      <c r="H304" s="1546"/>
      <c r="I304" s="1546"/>
      <c r="J304" s="1546"/>
      <c r="K304" s="1546"/>
      <c r="L304" s="539"/>
      <c r="M304" s="333"/>
      <c r="N304" s="353"/>
      <c r="O304" s="353"/>
      <c r="P304" s="353"/>
      <c r="Q304" s="353"/>
      <c r="R304" s="353"/>
      <c r="S304" s="353"/>
      <c r="T304" s="353"/>
      <c r="U304" s="353"/>
    </row>
    <row r="305" spans="2:21">
      <c r="B305" s="530"/>
      <c r="C305" s="333"/>
      <c r="D305" s="1546"/>
      <c r="E305" s="1546"/>
      <c r="F305" s="1546"/>
      <c r="G305" s="1546"/>
      <c r="H305" s="1546"/>
      <c r="I305" s="1546"/>
      <c r="J305" s="1546"/>
      <c r="K305" s="1546"/>
      <c r="L305" s="539"/>
      <c r="M305" s="333"/>
      <c r="N305" s="353"/>
      <c r="O305" s="353"/>
      <c r="P305" s="353"/>
      <c r="Q305" s="353"/>
      <c r="R305" s="353"/>
      <c r="S305" s="353"/>
      <c r="T305" s="353"/>
      <c r="U305" s="353"/>
    </row>
    <row r="306" spans="2:21">
      <c r="B306" s="530"/>
      <c r="C306" s="333"/>
      <c r="D306" s="536"/>
      <c r="E306" s="539"/>
      <c r="F306" s="539"/>
      <c r="G306" s="539"/>
      <c r="H306" s="539"/>
      <c r="I306" s="539"/>
      <c r="J306" s="539"/>
      <c r="K306" s="539"/>
      <c r="L306" s="539"/>
      <c r="M306" s="333"/>
      <c r="N306" s="353"/>
      <c r="O306" s="353"/>
      <c r="P306" s="353"/>
      <c r="Q306" s="353"/>
      <c r="R306" s="353"/>
      <c r="S306" s="353"/>
      <c r="T306" s="353"/>
      <c r="U306" s="353"/>
    </row>
    <row r="307" spans="2:21">
      <c r="B307" s="530" t="s">
        <v>156</v>
      </c>
      <c r="C307" s="333"/>
      <c r="D307" s="1523"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523"/>
      <c r="F307" s="1523"/>
      <c r="G307" s="1523"/>
      <c r="H307" s="1523"/>
      <c r="I307" s="1523"/>
      <c r="J307" s="1523"/>
      <c r="K307" s="1523"/>
      <c r="L307" s="539"/>
      <c r="M307" s="333"/>
      <c r="N307" s="353"/>
      <c r="O307" s="353"/>
      <c r="P307" s="353"/>
      <c r="Q307" s="353"/>
      <c r="R307" s="353"/>
      <c r="S307" s="353"/>
      <c r="T307" s="353"/>
      <c r="U307" s="353"/>
    </row>
    <row r="308" spans="2:21">
      <c r="B308" s="530"/>
      <c r="C308" s="333"/>
      <c r="D308" s="1523"/>
      <c r="E308" s="1523"/>
      <c r="F308" s="1523"/>
      <c r="G308" s="1523"/>
      <c r="H308" s="1523"/>
      <c r="I308" s="1523"/>
      <c r="J308" s="1523"/>
      <c r="K308" s="1523"/>
      <c r="L308" s="539"/>
      <c r="M308" s="333"/>
      <c r="N308" s="353"/>
      <c r="O308" s="353"/>
      <c r="P308" s="353"/>
      <c r="Q308" s="353"/>
      <c r="R308" s="353"/>
      <c r="S308" s="353"/>
      <c r="T308" s="353"/>
      <c r="U308" s="353"/>
    </row>
    <row r="309" spans="2:21">
      <c r="B309" s="530"/>
      <c r="C309" s="333"/>
      <c r="D309" s="1524"/>
      <c r="E309" s="1524"/>
      <c r="F309" s="1524"/>
      <c r="G309" s="1524"/>
      <c r="H309" s="1524"/>
      <c r="I309" s="1524"/>
      <c r="J309" s="1524"/>
      <c r="K309" s="1524"/>
      <c r="L309" s="539"/>
      <c r="M309" s="333"/>
      <c r="N309" s="353"/>
      <c r="O309" s="353"/>
      <c r="P309" s="353"/>
      <c r="Q309" s="353"/>
      <c r="R309" s="353"/>
      <c r="S309" s="353"/>
      <c r="T309" s="353"/>
      <c r="U309" s="353"/>
    </row>
    <row r="310" spans="2:21">
      <c r="B310" s="530"/>
      <c r="C310" s="333"/>
      <c r="D310" s="1540"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540"/>
      <c r="F310" s="1540"/>
      <c r="G310" s="1540"/>
      <c r="H310" s="1540"/>
      <c r="I310" s="1540"/>
      <c r="J310" s="1540"/>
      <c r="K310" s="540"/>
      <c r="L310" s="539"/>
      <c r="M310" s="333"/>
      <c r="N310" s="353"/>
      <c r="O310" s="353"/>
      <c r="P310" s="353"/>
      <c r="Q310" s="353"/>
      <c r="R310" s="353"/>
      <c r="S310" s="353"/>
      <c r="T310" s="353"/>
      <c r="U310" s="353"/>
    </row>
    <row r="311" spans="2:21">
      <c r="B311" s="530"/>
      <c r="C311" s="333"/>
      <c r="D311" s="1540"/>
      <c r="E311" s="1540"/>
      <c r="F311" s="1540"/>
      <c r="G311" s="1540"/>
      <c r="H311" s="1540"/>
      <c r="I311" s="1540"/>
      <c r="J311" s="1540"/>
      <c r="K311" s="540"/>
      <c r="L311" s="539"/>
      <c r="M311" s="333"/>
      <c r="N311" s="353"/>
      <c r="O311" s="353"/>
      <c r="P311" s="353"/>
      <c r="Q311" s="353"/>
      <c r="R311" s="353"/>
      <c r="S311" s="353"/>
      <c r="T311" s="353"/>
      <c r="U311" s="353"/>
    </row>
    <row r="312" spans="2:21">
      <c r="B312" s="530"/>
      <c r="C312" s="333"/>
      <c r="D312" s="539" t="str">
        <f>"The company records referenced on line "&amp;B168&amp;" is the "&amp;F9&amp;" general ledger."</f>
        <v>The company records referenced on line 95 is the Indiana Michigan Power Company  general ledger.</v>
      </c>
      <c r="E312" s="541"/>
      <c r="F312" s="541"/>
      <c r="G312" s="541"/>
      <c r="H312" s="541"/>
      <c r="I312" s="541"/>
      <c r="J312" s="541"/>
      <c r="K312" s="541"/>
      <c r="L312" s="539"/>
      <c r="M312" s="333"/>
      <c r="N312" s="353"/>
      <c r="O312" s="353"/>
      <c r="P312" s="353"/>
      <c r="Q312" s="353"/>
      <c r="R312" s="353"/>
      <c r="S312" s="353"/>
      <c r="T312" s="353"/>
      <c r="U312" s="353"/>
    </row>
    <row r="313" spans="2:21">
      <c r="B313" s="530"/>
      <c r="C313" s="333"/>
      <c r="D313" s="539"/>
      <c r="E313" s="541"/>
      <c r="F313" s="541"/>
      <c r="G313" s="541"/>
      <c r="H313" s="541"/>
      <c r="I313" s="541"/>
      <c r="J313" s="541"/>
      <c r="K313" s="541"/>
      <c r="L313" s="539"/>
      <c r="M313" s="333"/>
      <c r="N313" s="353"/>
      <c r="O313" s="353"/>
      <c r="P313" s="353"/>
      <c r="Q313" s="353"/>
      <c r="R313" s="353"/>
      <c r="S313" s="353"/>
      <c r="T313" s="353"/>
      <c r="U313" s="353"/>
    </row>
    <row r="314" spans="2:21">
      <c r="B314" s="530" t="s">
        <v>157</v>
      </c>
      <c r="C314" s="333"/>
      <c r="D314" s="333" t="s">
        <v>582</v>
      </c>
      <c r="E314" s="383"/>
      <c r="F314" s="383"/>
      <c r="G314" s="383"/>
      <c r="H314" s="383"/>
      <c r="I314" s="383"/>
      <c r="J314" s="383"/>
      <c r="K314" s="383"/>
      <c r="L314" s="542"/>
      <c r="M314" s="333"/>
      <c r="N314" s="353"/>
      <c r="O314" s="353"/>
      <c r="P314" s="353"/>
      <c r="Q314" s="353"/>
      <c r="R314" s="353"/>
      <c r="S314" s="353"/>
      <c r="T314" s="353"/>
      <c r="U314" s="353"/>
    </row>
    <row r="315" spans="2:21">
      <c r="B315" s="530"/>
      <c r="C315" s="333"/>
      <c r="D315" s="542"/>
      <c r="E315" s="542"/>
      <c r="F315" s="542"/>
      <c r="G315" s="542"/>
      <c r="H315" s="542"/>
      <c r="I315" s="542"/>
      <c r="J315" s="542"/>
      <c r="K315" s="542"/>
      <c r="L315" s="542"/>
      <c r="M315" s="333"/>
      <c r="N315" s="353"/>
      <c r="O315" s="353"/>
      <c r="P315" s="353"/>
      <c r="Q315" s="353"/>
      <c r="R315" s="353"/>
      <c r="S315" s="353"/>
      <c r="T315" s="353"/>
      <c r="U315" s="353"/>
    </row>
    <row r="316" spans="2:21">
      <c r="B316" s="530" t="s">
        <v>158</v>
      </c>
      <c r="C316" s="333"/>
      <c r="D316" s="1544" t="s">
        <v>49</v>
      </c>
      <c r="E316" s="1537"/>
      <c r="F316" s="1537"/>
      <c r="G316" s="1537"/>
      <c r="H316" s="1537"/>
      <c r="I316" s="1537"/>
      <c r="J316" s="1537"/>
      <c r="K316" s="539"/>
      <c r="L316" s="539"/>
      <c r="M316" s="333"/>
      <c r="N316" s="353"/>
      <c r="O316" s="353"/>
      <c r="P316" s="353"/>
      <c r="Q316" s="353"/>
      <c r="R316" s="353"/>
      <c r="S316" s="353"/>
      <c r="T316" s="353"/>
      <c r="U316" s="353"/>
    </row>
    <row r="317" spans="2:21">
      <c r="B317" s="530"/>
      <c r="C317" s="333"/>
      <c r="D317" s="1545"/>
      <c r="E317" s="1545"/>
      <c r="F317" s="1545"/>
      <c r="G317" s="1545"/>
      <c r="H317" s="1545"/>
      <c r="I317" s="1545"/>
      <c r="J317" s="1545"/>
      <c r="K317" s="542"/>
      <c r="L317" s="542"/>
      <c r="M317" s="333"/>
      <c r="N317" s="353"/>
      <c r="O317" s="353"/>
      <c r="P317" s="353"/>
      <c r="Q317" s="353"/>
      <c r="R317" s="353"/>
      <c r="S317" s="353"/>
      <c r="T317" s="353"/>
      <c r="U317" s="353"/>
    </row>
    <row r="318" spans="2:21">
      <c r="B318" s="530"/>
      <c r="C318" s="333"/>
      <c r="D318" s="1537"/>
      <c r="E318" s="1537"/>
      <c r="F318" s="1537"/>
      <c r="G318" s="1537"/>
      <c r="H318" s="1537"/>
      <c r="I318" s="1537"/>
      <c r="J318" s="1537"/>
      <c r="K318" s="539"/>
      <c r="L318" s="539"/>
      <c r="M318" s="333"/>
      <c r="N318" s="353"/>
      <c r="O318" s="353"/>
      <c r="P318" s="353"/>
      <c r="Q318" s="353"/>
      <c r="R318" s="353"/>
      <c r="S318" s="353"/>
      <c r="T318" s="353"/>
      <c r="U318" s="353"/>
    </row>
    <row r="319" spans="2:21">
      <c r="B319" s="530"/>
      <c r="C319" s="333"/>
      <c r="D319" s="539"/>
      <c r="E319" s="539"/>
      <c r="F319" s="539"/>
      <c r="G319" s="539"/>
      <c r="H319" s="539"/>
      <c r="I319" s="539"/>
      <c r="J319" s="539"/>
      <c r="K319" s="539"/>
      <c r="L319" s="539"/>
      <c r="M319" s="333"/>
      <c r="N319" s="353"/>
      <c r="O319" s="353"/>
      <c r="P319" s="353"/>
      <c r="Q319" s="353"/>
      <c r="R319" s="353"/>
      <c r="S319" s="353"/>
      <c r="T319" s="353"/>
      <c r="U319" s="353"/>
    </row>
    <row r="320" spans="2:21" ht="15.75">
      <c r="B320" s="1093" t="s">
        <v>159</v>
      </c>
      <c r="C320" s="1094"/>
      <c r="D320" s="1538" t="s">
        <v>849</v>
      </c>
      <c r="E320" s="1539"/>
      <c r="F320" s="1539"/>
      <c r="G320" s="1539"/>
      <c r="H320" s="1539"/>
      <c r="I320" s="1539"/>
      <c r="J320" s="1539"/>
      <c r="K320" s="1539"/>
      <c r="L320" s="542"/>
      <c r="M320" s="333"/>
      <c r="N320" s="353"/>
      <c r="O320" s="353"/>
      <c r="P320" s="353"/>
      <c r="Q320" s="353"/>
      <c r="R320" s="353"/>
      <c r="S320" s="353"/>
      <c r="T320" s="353"/>
      <c r="U320" s="353"/>
    </row>
    <row r="321" spans="2:21" ht="15.75">
      <c r="B321" s="1060"/>
      <c r="C321" s="1094"/>
      <c r="D321" s="1539"/>
      <c r="E321" s="1539"/>
      <c r="F321" s="1539"/>
      <c r="G321" s="1539"/>
      <c r="H321" s="1539"/>
      <c r="I321" s="1539"/>
      <c r="J321" s="1539"/>
      <c r="K321" s="1539"/>
      <c r="L321" s="539"/>
      <c r="M321" s="333"/>
      <c r="N321" s="353"/>
      <c r="O321" s="353"/>
      <c r="P321" s="353"/>
      <c r="Q321" s="353"/>
      <c r="R321" s="353"/>
      <c r="S321" s="353"/>
      <c r="T321" s="353"/>
      <c r="U321" s="353"/>
    </row>
    <row r="322" spans="2:21">
      <c r="B322" s="530"/>
      <c r="C322" s="333"/>
      <c r="D322" s="539"/>
      <c r="E322" s="539"/>
      <c r="F322" s="539"/>
      <c r="G322" s="539"/>
      <c r="H322" s="539"/>
      <c r="I322" s="539"/>
      <c r="J322" s="539"/>
      <c r="K322" s="539"/>
      <c r="L322" s="539"/>
      <c r="M322" s="333"/>
      <c r="N322" s="353"/>
      <c r="O322" s="353"/>
      <c r="P322" s="353"/>
      <c r="Q322" s="353"/>
      <c r="R322" s="353"/>
      <c r="S322" s="353"/>
      <c r="T322" s="353"/>
      <c r="U322" s="353"/>
    </row>
    <row r="323" spans="2:21">
      <c r="B323" s="367" t="s">
        <v>160</v>
      </c>
      <c r="C323" s="368"/>
      <c r="D323" s="1520" t="s">
        <v>583</v>
      </c>
      <c r="E323" s="1520"/>
      <c r="F323" s="1520"/>
      <c r="G323" s="1520"/>
      <c r="H323" s="1520"/>
      <c r="I323" s="1520"/>
      <c r="J323" s="1520"/>
      <c r="K323" s="1520"/>
      <c r="L323" s="1520"/>
      <c r="M323" s="333"/>
      <c r="N323" s="353"/>
      <c r="O323" s="353"/>
      <c r="P323" s="353"/>
      <c r="Q323" s="353"/>
      <c r="R323" s="353"/>
      <c r="S323" s="353"/>
      <c r="T323" s="353"/>
      <c r="U323" s="353"/>
    </row>
    <row r="324" spans="2:21">
      <c r="B324" s="367"/>
      <c r="C324" s="368"/>
      <c r="D324" s="1520"/>
      <c r="E324" s="1520"/>
      <c r="F324" s="1520"/>
      <c r="G324" s="1520"/>
      <c r="H324" s="1520"/>
      <c r="I324" s="1520"/>
      <c r="J324" s="1520"/>
      <c r="K324" s="1520"/>
      <c r="L324" s="1520"/>
      <c r="M324" s="333"/>
      <c r="N324" s="353"/>
      <c r="O324" s="353"/>
      <c r="P324" s="353"/>
      <c r="Q324" s="353"/>
      <c r="R324" s="353"/>
      <c r="S324" s="353"/>
      <c r="T324" s="353"/>
      <c r="U324" s="353"/>
    </row>
    <row r="325" spans="2:21">
      <c r="B325" s="367"/>
      <c r="C325" s="368"/>
      <c r="D325" s="1520"/>
      <c r="E325" s="1520"/>
      <c r="F325" s="1520"/>
      <c r="G325" s="1520"/>
      <c r="H325" s="1520"/>
      <c r="I325" s="1520"/>
      <c r="J325" s="1520"/>
      <c r="K325" s="1520"/>
      <c r="L325" s="1520"/>
      <c r="M325" s="333"/>
      <c r="N325" s="353"/>
      <c r="O325" s="353"/>
      <c r="P325" s="353"/>
      <c r="Q325" s="353"/>
      <c r="R325" s="353"/>
      <c r="S325" s="353"/>
      <c r="T325" s="353"/>
      <c r="U325" s="353"/>
    </row>
    <row r="326" spans="2:21">
      <c r="B326" s="367"/>
      <c r="C326" s="368"/>
      <c r="D326" s="1520"/>
      <c r="E326" s="1520"/>
      <c r="F326" s="1520"/>
      <c r="G326" s="1520"/>
      <c r="H326" s="1520"/>
      <c r="I326" s="1520"/>
      <c r="J326" s="1520"/>
      <c r="K326" s="1520"/>
      <c r="L326" s="1520"/>
      <c r="M326" s="333"/>
      <c r="N326" s="353"/>
      <c r="O326" s="353"/>
      <c r="P326" s="353"/>
      <c r="Q326" s="353"/>
      <c r="R326" s="353"/>
      <c r="S326" s="353"/>
      <c r="T326" s="353"/>
      <c r="U326" s="353"/>
    </row>
    <row r="327" spans="2:21">
      <c r="B327" s="367"/>
      <c r="C327" s="368"/>
      <c r="D327" s="539"/>
      <c r="E327" s="538"/>
      <c r="F327" s="538"/>
      <c r="G327" s="538"/>
      <c r="H327" s="538"/>
      <c r="I327" s="538"/>
      <c r="J327" s="538"/>
      <c r="K327" s="538"/>
      <c r="L327" s="538"/>
      <c r="M327" s="333"/>
      <c r="N327" s="353"/>
      <c r="O327" s="353"/>
      <c r="P327" s="353"/>
      <c r="Q327" s="353"/>
      <c r="R327" s="353"/>
      <c r="S327" s="353"/>
      <c r="T327" s="353"/>
      <c r="U327" s="353"/>
    </row>
    <row r="328" spans="2:21" ht="15" customHeight="1">
      <c r="B328" s="367" t="s">
        <v>161</v>
      </c>
      <c r="C328" s="368"/>
      <c r="D328" s="1541" t="s">
        <v>847</v>
      </c>
      <c r="E328" s="1542"/>
      <c r="F328" s="1542"/>
      <c r="G328" s="1542"/>
      <c r="H328" s="1542"/>
      <c r="I328" s="1542"/>
      <c r="J328" s="1542"/>
      <c r="K328" s="1542"/>
      <c r="L328" s="1543"/>
      <c r="M328" s="333"/>
      <c r="N328" s="353"/>
      <c r="O328" s="353"/>
      <c r="P328" s="353"/>
      <c r="Q328" s="353"/>
      <c r="R328" s="353"/>
      <c r="S328" s="353"/>
      <c r="T328" s="353"/>
      <c r="U328" s="353"/>
    </row>
    <row r="329" spans="2:21">
      <c r="B329" s="367"/>
      <c r="C329" s="368"/>
      <c r="D329" s="1542"/>
      <c r="E329" s="1542"/>
      <c r="F329" s="1542"/>
      <c r="G329" s="1542"/>
      <c r="H329" s="1542"/>
      <c r="I329" s="1542"/>
      <c r="J329" s="1542"/>
      <c r="K329" s="1542"/>
      <c r="L329" s="1543"/>
      <c r="M329" s="333"/>
      <c r="N329" s="353"/>
      <c r="O329" s="353"/>
      <c r="P329" s="353"/>
      <c r="Q329" s="353"/>
      <c r="R329" s="353"/>
      <c r="S329" s="353"/>
      <c r="T329" s="353"/>
      <c r="U329" s="353"/>
    </row>
    <row r="330" spans="2:21">
      <c r="B330" s="367"/>
      <c r="C330" s="368"/>
      <c r="D330" s="1543"/>
      <c r="E330" s="1543"/>
      <c r="F330" s="1543"/>
      <c r="G330" s="1543"/>
      <c r="H330" s="1543"/>
      <c r="I330" s="1543"/>
      <c r="J330" s="1543"/>
      <c r="K330" s="1543"/>
      <c r="L330" s="1543"/>
      <c r="M330" s="333"/>
      <c r="N330" s="353"/>
      <c r="O330" s="353"/>
      <c r="P330" s="353"/>
      <c r="Q330" s="353"/>
      <c r="R330" s="353"/>
      <c r="S330" s="353"/>
      <c r="T330" s="353"/>
      <c r="U330" s="353"/>
    </row>
    <row r="331" spans="2:21">
      <c r="B331" s="367"/>
      <c r="C331" s="368"/>
      <c r="D331" s="482"/>
      <c r="E331" s="353"/>
      <c r="F331" s="353"/>
      <c r="G331" s="353"/>
      <c r="H331" s="353"/>
      <c r="I331" s="353"/>
      <c r="J331" s="353"/>
      <c r="K331" s="353"/>
      <c r="L331" s="353"/>
      <c r="M331" s="333"/>
      <c r="N331" s="353"/>
      <c r="O331" s="353"/>
      <c r="P331" s="353"/>
      <c r="Q331" s="353"/>
      <c r="R331" s="353"/>
      <c r="S331" s="353"/>
      <c r="T331" s="353"/>
      <c r="U331" s="353"/>
    </row>
    <row r="332" spans="2:21">
      <c r="B332" s="437" t="s">
        <v>246</v>
      </c>
      <c r="C332" s="368"/>
      <c r="D332" s="379" t="s">
        <v>356</v>
      </c>
      <c r="E332" s="336"/>
      <c r="F332" s="336"/>
      <c r="G332" s="336"/>
      <c r="H332" s="336"/>
      <c r="I332" s="336"/>
      <c r="J332" s="336"/>
      <c r="K332" s="333"/>
      <c r="L332" s="333"/>
      <c r="M332" s="333"/>
      <c r="N332" s="353"/>
      <c r="O332" s="353"/>
      <c r="P332" s="353"/>
      <c r="Q332" s="353"/>
      <c r="R332" s="353"/>
      <c r="S332" s="353"/>
      <c r="T332" s="353"/>
      <c r="U332" s="353"/>
    </row>
    <row r="333" spans="2:21">
      <c r="B333" s="437"/>
      <c r="C333" s="368"/>
      <c r="D333" s="336"/>
      <c r="E333" s="336"/>
      <c r="F333" s="336"/>
      <c r="G333" s="336"/>
      <c r="H333" s="336"/>
      <c r="I333" s="336"/>
      <c r="J333" s="336"/>
      <c r="K333" s="333"/>
      <c r="L333" s="333"/>
      <c r="M333" s="333"/>
      <c r="N333" s="353"/>
      <c r="O333" s="353"/>
      <c r="P333" s="353"/>
      <c r="Q333" s="353"/>
      <c r="R333" s="353"/>
      <c r="S333" s="353"/>
      <c r="T333" s="353"/>
      <c r="U333" s="353"/>
    </row>
    <row r="334" spans="2:21">
      <c r="B334" s="367" t="s">
        <v>305</v>
      </c>
      <c r="C334" s="368"/>
      <c r="D334" s="379" t="s">
        <v>345</v>
      </c>
      <c r="E334" s="333"/>
      <c r="F334" s="333"/>
      <c r="G334" s="333"/>
      <c r="H334" s="333"/>
      <c r="I334" s="333"/>
      <c r="J334" s="333"/>
      <c r="K334" s="333"/>
      <c r="L334" s="333"/>
      <c r="M334" s="333"/>
      <c r="N334" s="353"/>
      <c r="O334" s="353"/>
      <c r="P334" s="353"/>
      <c r="Q334" s="353"/>
      <c r="R334" s="353"/>
      <c r="S334" s="353"/>
      <c r="T334" s="353"/>
      <c r="U334" s="353"/>
    </row>
    <row r="335" spans="2:21">
      <c r="B335" s="437"/>
      <c r="C335" s="368"/>
      <c r="D335" s="379" t="s">
        <v>234</v>
      </c>
      <c r="E335" s="333"/>
      <c r="F335" s="333"/>
      <c r="G335" s="333"/>
      <c r="H335" s="333"/>
      <c r="I335" s="333"/>
      <c r="J335" s="333"/>
      <c r="K335" s="333"/>
      <c r="L335" s="333"/>
      <c r="M335" s="333"/>
      <c r="N335" s="353"/>
      <c r="O335" s="353"/>
      <c r="P335" s="353"/>
      <c r="Q335" s="353"/>
      <c r="R335" s="353"/>
      <c r="S335" s="353"/>
      <c r="T335" s="353"/>
      <c r="U335" s="353"/>
    </row>
    <row r="336" spans="2:21">
      <c r="B336" s="437"/>
      <c r="C336" s="368"/>
      <c r="D336" s="379" t="s">
        <v>235</v>
      </c>
      <c r="E336" s="333"/>
      <c r="F336" s="333"/>
      <c r="G336" s="333"/>
      <c r="H336" s="333"/>
      <c r="I336" s="333"/>
      <c r="J336" s="333"/>
      <c r="K336" s="333"/>
      <c r="L336" s="333"/>
      <c r="M336" s="333"/>
      <c r="N336" s="353"/>
      <c r="O336" s="353"/>
      <c r="P336" s="353"/>
      <c r="Q336" s="353"/>
      <c r="R336" s="353"/>
      <c r="S336" s="353"/>
      <c r="T336" s="353"/>
      <c r="U336" s="353"/>
    </row>
    <row r="337" spans="2:21">
      <c r="B337" s="437"/>
      <c r="C337" s="368"/>
      <c r="D337" s="379" t="s">
        <v>236</v>
      </c>
      <c r="E337" s="333"/>
      <c r="F337" s="333"/>
      <c r="G337" s="333"/>
      <c r="H337" s="333"/>
      <c r="I337" s="333"/>
      <c r="J337" s="333"/>
      <c r="K337" s="333"/>
      <c r="L337" s="333"/>
      <c r="M337" s="333"/>
      <c r="N337" s="353"/>
      <c r="O337" s="353"/>
      <c r="P337" s="353"/>
      <c r="Q337" s="353"/>
      <c r="R337" s="353"/>
      <c r="S337" s="353"/>
      <c r="T337" s="353"/>
      <c r="U337" s="353"/>
    </row>
    <row r="338" spans="2:21">
      <c r="B338" s="367"/>
      <c r="C338" s="368"/>
      <c r="D338" s="379" t="str">
        <f>"(ln "&amp;B194&amp;") multiplied by (1/1-T) .  If the applicable tax rates are zero enter 0."</f>
        <v>(ln 118) multiplied by (1/1-T) .  If the applicable tax rates are zero enter 0.</v>
      </c>
      <c r="H338" s="333"/>
      <c r="I338" s="333"/>
      <c r="J338" s="333"/>
      <c r="K338" s="333"/>
      <c r="L338" s="333"/>
      <c r="M338" s="333"/>
      <c r="N338" s="353"/>
      <c r="O338" s="353"/>
      <c r="P338" s="353"/>
      <c r="Q338" s="353"/>
      <c r="R338" s="353"/>
      <c r="S338" s="353"/>
      <c r="T338" s="353"/>
      <c r="U338" s="353"/>
    </row>
    <row r="339" spans="2:21">
      <c r="B339" s="543"/>
      <c r="C339" s="353"/>
      <c r="D339" s="379" t="s">
        <v>346</v>
      </c>
      <c r="E339" s="353" t="s">
        <v>347</v>
      </c>
      <c r="F339" s="835">
        <v>0.21</v>
      </c>
      <c r="G339" s="353"/>
      <c r="H339" s="333"/>
      <c r="I339" s="333"/>
      <c r="J339" s="333"/>
      <c r="K339" s="333"/>
      <c r="L339" s="333"/>
      <c r="M339" s="333"/>
      <c r="N339" s="353"/>
      <c r="O339" s="353"/>
      <c r="P339" s="353"/>
      <c r="Q339" s="353"/>
      <c r="R339" s="353"/>
      <c r="S339" s="353"/>
      <c r="T339" s="353"/>
      <c r="U339" s="353"/>
    </row>
    <row r="340" spans="2:21">
      <c r="B340" s="543"/>
      <c r="C340" s="353"/>
      <c r="D340" s="379"/>
      <c r="E340" s="353" t="s">
        <v>348</v>
      </c>
      <c r="F340" s="532">
        <f>'WS G  State Tax Rate'!F37</f>
        <v>5.0163999999999993E-2</v>
      </c>
      <c r="G340" s="353" t="s">
        <v>506</v>
      </c>
      <c r="H340" s="333"/>
      <c r="I340" s="333"/>
      <c r="J340" s="333"/>
      <c r="K340" s="333"/>
      <c r="L340" s="333"/>
      <c r="M340" s="333"/>
      <c r="N340" s="353"/>
      <c r="O340" s="353"/>
      <c r="P340" s="353"/>
      <c r="Q340" s="353"/>
      <c r="R340" s="353"/>
      <c r="S340" s="353"/>
      <c r="T340" s="353"/>
      <c r="U340" s="353"/>
    </row>
    <row r="341" spans="2:21">
      <c r="B341" s="543"/>
      <c r="C341" s="353"/>
      <c r="D341" s="379"/>
      <c r="E341" s="353" t="s">
        <v>349</v>
      </c>
      <c r="F341" s="835">
        <v>0</v>
      </c>
      <c r="G341" s="353" t="s">
        <v>350</v>
      </c>
      <c r="H341" s="333"/>
      <c r="I341" s="333"/>
      <c r="J341" s="333"/>
      <c r="K341" s="333"/>
      <c r="L341" s="333"/>
      <c r="M341" s="333"/>
      <c r="N341" s="353"/>
      <c r="O341" s="353"/>
      <c r="P341" s="353"/>
      <c r="Q341" s="353"/>
      <c r="R341" s="353"/>
      <c r="S341" s="353"/>
      <c r="T341" s="353"/>
      <c r="U341" s="353"/>
    </row>
    <row r="342" spans="2:21">
      <c r="B342" s="437"/>
      <c r="C342" s="368"/>
      <c r="D342" s="379" t="s">
        <v>594</v>
      </c>
      <c r="E342" s="333"/>
      <c r="F342" s="333"/>
      <c r="G342" s="333"/>
      <c r="H342" s="333"/>
      <c r="I342" s="333"/>
      <c r="J342" s="333"/>
      <c r="K342" s="333"/>
      <c r="L342" s="333"/>
      <c r="M342" s="353"/>
      <c r="N342" s="353"/>
      <c r="O342" s="353"/>
      <c r="P342" s="353"/>
      <c r="Q342" s="353"/>
      <c r="R342" s="353"/>
      <c r="S342" s="353"/>
      <c r="T342" s="353"/>
      <c r="U342" s="353"/>
    </row>
    <row r="343" spans="2:21">
      <c r="B343" s="437"/>
      <c r="C343" s="368"/>
      <c r="D343" s="379" t="s">
        <v>595</v>
      </c>
      <c r="E343" s="333"/>
      <c r="F343" s="333"/>
      <c r="G343" s="333"/>
      <c r="H343" s="333"/>
      <c r="I343" s="333"/>
      <c r="J343" s="333"/>
      <c r="K343" s="333"/>
      <c r="L343" s="333"/>
      <c r="M343" s="353"/>
      <c r="N343" s="353"/>
      <c r="O343" s="353"/>
      <c r="P343" s="353"/>
      <c r="Q343" s="353"/>
      <c r="R343" s="353"/>
      <c r="S343" s="353"/>
      <c r="T343" s="353"/>
      <c r="U343" s="353"/>
    </row>
    <row r="344" spans="2:21">
      <c r="B344" s="367" t="s">
        <v>351</v>
      </c>
      <c r="C344" s="368"/>
      <c r="D344" s="379" t="s">
        <v>225</v>
      </c>
      <c r="E344" s="333"/>
      <c r="F344" s="333"/>
      <c r="G344" s="333"/>
      <c r="H344" s="333"/>
      <c r="I344" s="333"/>
      <c r="J344" s="333"/>
      <c r="K344" s="333"/>
      <c r="L344" s="333"/>
      <c r="M344" s="333"/>
      <c r="N344" s="353"/>
      <c r="O344" s="353"/>
      <c r="P344" s="353"/>
      <c r="Q344" s="353"/>
      <c r="R344" s="353"/>
      <c r="S344" s="353"/>
      <c r="T344" s="353"/>
      <c r="U344" s="353"/>
    </row>
    <row r="345" spans="2:21">
      <c r="B345" s="328"/>
      <c r="D345" s="379"/>
      <c r="E345" s="333"/>
      <c r="F345" s="333"/>
      <c r="G345" s="333"/>
      <c r="H345" s="333"/>
      <c r="I345" s="333"/>
      <c r="J345" s="333"/>
      <c r="K345" s="333"/>
      <c r="L345" s="333"/>
      <c r="M345" s="333"/>
      <c r="N345" s="353"/>
      <c r="O345" s="353"/>
      <c r="P345" s="353"/>
      <c r="Q345" s="353"/>
      <c r="R345" s="353"/>
      <c r="S345" s="353"/>
      <c r="T345" s="353"/>
      <c r="U345" s="353"/>
    </row>
    <row r="346" spans="2:21">
      <c r="B346" s="367" t="s">
        <v>352</v>
      </c>
      <c r="C346" s="368"/>
      <c r="D346" s="379" t="s">
        <v>22</v>
      </c>
      <c r="E346" s="333"/>
      <c r="F346" s="333"/>
      <c r="G346" s="333"/>
      <c r="H346" s="333"/>
      <c r="I346" s="333"/>
      <c r="J346" s="333"/>
      <c r="K346" s="333"/>
      <c r="L346" s="333"/>
      <c r="M346" s="333"/>
      <c r="N346" s="353"/>
      <c r="O346" s="353"/>
      <c r="P346" s="353"/>
      <c r="Q346" s="353"/>
      <c r="R346" s="353"/>
      <c r="S346" s="353"/>
      <c r="T346" s="353"/>
      <c r="U346" s="353"/>
    </row>
    <row r="347" spans="2:21">
      <c r="B347" s="367"/>
      <c r="C347" s="368"/>
      <c r="D347" s="379"/>
      <c r="E347" s="353"/>
      <c r="F347" s="353"/>
      <c r="G347" s="353"/>
      <c r="H347" s="353"/>
      <c r="I347" s="353"/>
      <c r="J347" s="353"/>
      <c r="K347" s="353"/>
      <c r="L347" s="353"/>
      <c r="M347" s="353"/>
      <c r="N347" s="353"/>
      <c r="O347" s="353"/>
      <c r="P347" s="353"/>
      <c r="Q347" s="353"/>
      <c r="R347" s="353"/>
      <c r="S347" s="353"/>
      <c r="T347" s="353"/>
      <c r="U347" s="353"/>
    </row>
    <row r="348" spans="2:21">
      <c r="B348" s="367" t="s">
        <v>353</v>
      </c>
      <c r="C348" s="368"/>
      <c r="D348" s="379" t="s">
        <v>416</v>
      </c>
      <c r="E348" s="353"/>
      <c r="F348" s="353"/>
      <c r="G348" s="353"/>
      <c r="H348" s="353"/>
      <c r="I348" s="353"/>
      <c r="J348" s="353"/>
      <c r="K348" s="353"/>
      <c r="L348" s="353"/>
      <c r="M348" s="353"/>
      <c r="N348" s="353"/>
      <c r="O348" s="353"/>
      <c r="P348" s="353"/>
      <c r="Q348" s="353"/>
      <c r="R348" s="353"/>
      <c r="S348" s="353"/>
      <c r="T348" s="353"/>
      <c r="U348" s="353"/>
    </row>
    <row r="349" spans="2:21">
      <c r="B349" s="367"/>
      <c r="C349" s="368"/>
      <c r="D349" s="379"/>
      <c r="E349" s="353"/>
      <c r="F349" s="353"/>
      <c r="G349" s="353"/>
      <c r="H349" s="353"/>
      <c r="I349" s="353"/>
      <c r="J349" s="353"/>
      <c r="K349" s="353"/>
      <c r="L349" s="353"/>
      <c r="M349" s="353"/>
      <c r="N349" s="353"/>
      <c r="O349" s="353"/>
      <c r="P349" s="353"/>
      <c r="Q349" s="353"/>
      <c r="R349" s="353"/>
      <c r="S349" s="353"/>
      <c r="T349" s="353"/>
      <c r="U349" s="353"/>
    </row>
    <row r="350" spans="2:21">
      <c r="B350" s="530" t="s">
        <v>354</v>
      </c>
      <c r="C350" s="438"/>
      <c r="D350" s="379"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53"/>
      <c r="N350" s="353"/>
      <c r="O350" s="353"/>
      <c r="P350" s="353"/>
      <c r="Q350" s="353"/>
      <c r="R350" s="353"/>
      <c r="S350" s="353"/>
      <c r="T350" s="353"/>
      <c r="U350" s="353"/>
    </row>
    <row r="351" spans="2:21">
      <c r="B351" s="531"/>
      <c r="C351" s="333"/>
      <c r="D351" s="379"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53"/>
      <c r="N351" s="353"/>
      <c r="O351" s="353"/>
      <c r="P351" s="353"/>
      <c r="Q351" s="353"/>
      <c r="R351" s="353"/>
      <c r="S351" s="353"/>
      <c r="T351" s="353"/>
      <c r="U351" s="353"/>
    </row>
    <row r="352" spans="2:21" ht="15" customHeight="1">
      <c r="B352" s="531"/>
      <c r="C352" s="333"/>
      <c r="D352" s="1521" t="s">
        <v>584</v>
      </c>
      <c r="E352" s="1521"/>
      <c r="F352" s="1521"/>
      <c r="G352" s="1521"/>
      <c r="H352" s="1521"/>
      <c r="I352" s="1521"/>
      <c r="J352" s="1521"/>
      <c r="K352" s="1521"/>
      <c r="L352" s="1521"/>
      <c r="M352" s="353"/>
      <c r="N352" s="353"/>
      <c r="O352" s="353"/>
      <c r="P352" s="353"/>
      <c r="Q352" s="353"/>
      <c r="R352" s="353"/>
      <c r="S352" s="353"/>
      <c r="T352" s="353"/>
      <c r="U352" s="353"/>
    </row>
    <row r="353" spans="2:21">
      <c r="B353" s="531"/>
      <c r="C353" s="333"/>
      <c r="D353" s="1521"/>
      <c r="E353" s="1521"/>
      <c r="F353" s="1521"/>
      <c r="G353" s="1521"/>
      <c r="H353" s="1521"/>
      <c r="I353" s="1521"/>
      <c r="J353" s="1521"/>
      <c r="K353" s="1521"/>
      <c r="L353" s="1521"/>
      <c r="M353" s="353"/>
      <c r="N353" s="353"/>
      <c r="O353" s="353"/>
      <c r="P353" s="353"/>
      <c r="Q353" s="353"/>
      <c r="R353" s="353"/>
      <c r="S353" s="353"/>
      <c r="T353" s="353"/>
      <c r="U353" s="353"/>
    </row>
    <row r="354" spans="2:21" ht="14.25" customHeight="1">
      <c r="B354" s="531"/>
      <c r="C354" s="333"/>
      <c r="D354" s="1521"/>
      <c r="E354" s="1521"/>
      <c r="F354" s="1521"/>
      <c r="G354" s="1521"/>
      <c r="H354" s="1521"/>
      <c r="I354" s="1521"/>
      <c r="J354" s="1521"/>
      <c r="K354" s="1521"/>
      <c r="L354" s="1521"/>
      <c r="M354" s="353"/>
      <c r="N354" s="353"/>
      <c r="O354" s="353"/>
      <c r="P354" s="353"/>
      <c r="Q354" s="353"/>
      <c r="R354" s="353"/>
      <c r="S354" s="353"/>
      <c r="T354" s="353"/>
      <c r="U354" s="353"/>
    </row>
    <row r="355" spans="2:21" ht="15" hidden="1" customHeight="1">
      <c r="B355" s="531"/>
      <c r="C355" s="333"/>
      <c r="D355" s="1521"/>
      <c r="E355" s="1521"/>
      <c r="F355" s="1521"/>
      <c r="G355" s="1521"/>
      <c r="H355" s="1521"/>
      <c r="I355" s="1521"/>
      <c r="J355" s="1521"/>
      <c r="K355" s="1521"/>
      <c r="L355" s="1521"/>
      <c r="M355" s="353"/>
      <c r="N355" s="353"/>
      <c r="O355" s="353"/>
      <c r="P355" s="353"/>
      <c r="Q355" s="353"/>
      <c r="R355" s="353"/>
      <c r="S355" s="353"/>
      <c r="T355" s="353"/>
      <c r="U355" s="353"/>
    </row>
    <row r="356" spans="2:21" ht="15" hidden="1" customHeight="1">
      <c r="B356" s="531"/>
      <c r="C356" s="333"/>
      <c r="D356" s="1521"/>
      <c r="E356" s="1521"/>
      <c r="F356" s="1521"/>
      <c r="G356" s="1521"/>
      <c r="H356" s="1521"/>
      <c r="I356" s="1521"/>
      <c r="J356" s="1521"/>
      <c r="K356" s="1521"/>
      <c r="L356" s="1521"/>
      <c r="M356" s="353"/>
      <c r="N356" s="353"/>
      <c r="O356" s="353"/>
      <c r="P356" s="353"/>
      <c r="Q356" s="353"/>
      <c r="R356" s="353"/>
      <c r="S356" s="353"/>
      <c r="T356" s="353"/>
      <c r="U356" s="353"/>
    </row>
    <row r="357" spans="2:21" ht="15" hidden="1" customHeight="1">
      <c r="B357" s="531"/>
      <c r="C357" s="333"/>
      <c r="D357" s="1521"/>
      <c r="E357" s="1521"/>
      <c r="F357" s="1521"/>
      <c r="G357" s="1521"/>
      <c r="H357" s="1521"/>
      <c r="I357" s="1521"/>
      <c r="J357" s="1521"/>
      <c r="K357" s="1521"/>
      <c r="L357" s="1521"/>
      <c r="M357" s="353"/>
      <c r="N357" s="353"/>
      <c r="O357" s="353"/>
      <c r="P357" s="353"/>
      <c r="Q357" s="353"/>
      <c r="R357" s="353"/>
      <c r="S357" s="353"/>
      <c r="T357" s="353"/>
      <c r="U357" s="353"/>
    </row>
    <row r="358" spans="2:21" s="333" customFormat="1">
      <c r="B358" s="367" t="s">
        <v>427</v>
      </c>
      <c r="C358" s="368"/>
      <c r="D358" s="539" t="s">
        <v>35</v>
      </c>
      <c r="E358" s="539"/>
      <c r="F358" s="539"/>
      <c r="G358" s="539"/>
      <c r="H358" s="539"/>
      <c r="I358" s="539"/>
      <c r="J358" s="539"/>
      <c r="M358" s="353"/>
      <c r="N358" s="353"/>
      <c r="O358" s="353"/>
      <c r="P358" s="353"/>
      <c r="Q358" s="353"/>
      <c r="R358" s="353"/>
      <c r="S358" s="353"/>
      <c r="T358" s="353"/>
      <c r="U358" s="353"/>
    </row>
    <row r="359" spans="2:21" s="333" customFormat="1">
      <c r="B359" s="367"/>
      <c r="C359" s="368"/>
      <c r="D359" s="539" t="str">
        <f>"This total balance of $265,249,280 at 12/31/12 is not included in the balance in line "&amp;B255&amp;" above."</f>
        <v>This total balance of $265,249,280 at 12/31/12 is not included in the balance in line 154 above.</v>
      </c>
      <c r="E359" s="539"/>
      <c r="F359" s="539"/>
      <c r="G359" s="539"/>
      <c r="H359" s="539"/>
      <c r="I359" s="539"/>
      <c r="J359" s="539"/>
      <c r="M359" s="353"/>
      <c r="N359" s="353"/>
      <c r="O359" s="353"/>
      <c r="P359" s="353"/>
      <c r="Q359" s="353"/>
      <c r="R359" s="353"/>
      <c r="S359" s="353"/>
      <c r="T359" s="353"/>
      <c r="U359" s="353"/>
    </row>
    <row r="360" spans="2:21" s="333" customFormat="1">
      <c r="B360" s="367"/>
      <c r="C360" s="368"/>
      <c r="D360" s="1522" t="s">
        <v>585</v>
      </c>
      <c r="E360" s="1522"/>
      <c r="F360" s="1522"/>
      <c r="G360" s="1522"/>
      <c r="H360" s="1522"/>
      <c r="I360" s="1522"/>
      <c r="J360" s="1522"/>
      <c r="K360" s="1522"/>
      <c r="L360" s="1522"/>
      <c r="M360" s="353"/>
      <c r="N360" s="353"/>
      <c r="O360" s="353"/>
      <c r="P360" s="353"/>
      <c r="Q360" s="353"/>
      <c r="R360" s="353"/>
      <c r="S360" s="353"/>
      <c r="T360" s="353"/>
      <c r="U360" s="353"/>
    </row>
    <row r="361" spans="2:21" s="333" customFormat="1">
      <c r="B361" s="367"/>
      <c r="C361" s="368"/>
      <c r="D361" s="1522"/>
      <c r="E361" s="1522"/>
      <c r="F361" s="1522"/>
      <c r="G361" s="1522"/>
      <c r="H361" s="1522"/>
      <c r="I361" s="1522"/>
      <c r="J361" s="1522"/>
      <c r="K361" s="1522"/>
      <c r="L361" s="1522"/>
      <c r="M361" s="353"/>
      <c r="N361" s="353"/>
      <c r="O361" s="353"/>
      <c r="P361" s="353"/>
      <c r="Q361" s="353"/>
      <c r="R361" s="353"/>
      <c r="S361" s="353"/>
      <c r="T361" s="353"/>
      <c r="U361" s="353"/>
    </row>
    <row r="362" spans="2:21" s="333" customFormat="1">
      <c r="B362" s="367"/>
      <c r="C362" s="368"/>
      <c r="D362" s="1522"/>
      <c r="E362" s="1522"/>
      <c r="F362" s="1522"/>
      <c r="G362" s="1522"/>
      <c r="H362" s="1522"/>
      <c r="I362" s="1522"/>
      <c r="J362" s="1522"/>
      <c r="K362" s="1522"/>
      <c r="L362" s="1522"/>
      <c r="M362" s="353"/>
      <c r="N362" s="353"/>
      <c r="O362" s="353"/>
      <c r="P362" s="353"/>
      <c r="Q362" s="353"/>
      <c r="R362" s="353"/>
      <c r="S362" s="353"/>
      <c r="T362" s="353"/>
      <c r="U362" s="353"/>
    </row>
    <row r="363" spans="2:21">
      <c r="B363" s="367" t="s">
        <v>495</v>
      </c>
      <c r="C363" s="544"/>
      <c r="D363" s="1522" t="s">
        <v>749</v>
      </c>
      <c r="E363" s="1522"/>
      <c r="F363" s="1522"/>
      <c r="G363" s="1522"/>
      <c r="H363" s="1522"/>
      <c r="I363" s="1522"/>
      <c r="J363" s="1522"/>
      <c r="K363" s="1522"/>
      <c r="L363" s="1522"/>
      <c r="M363" s="353"/>
      <c r="N363" s="353"/>
      <c r="O363" s="353"/>
      <c r="P363" s="353"/>
      <c r="Q363" s="353"/>
      <c r="R363" s="353"/>
      <c r="S363" s="353"/>
      <c r="T363" s="353"/>
      <c r="U363" s="353"/>
    </row>
    <row r="364" spans="2:21" ht="64.5" customHeight="1">
      <c r="B364" s="367"/>
      <c r="C364" s="368"/>
      <c r="D364" s="1522"/>
      <c r="E364" s="1522"/>
      <c r="F364" s="1522"/>
      <c r="G364" s="1522"/>
      <c r="H364" s="1522"/>
      <c r="I364" s="1522"/>
      <c r="J364" s="1522"/>
      <c r="K364" s="1522"/>
      <c r="L364" s="1522"/>
      <c r="M364" s="353"/>
      <c r="N364" s="353"/>
      <c r="O364" s="353"/>
      <c r="P364" s="353"/>
      <c r="Q364" s="353"/>
      <c r="R364" s="353"/>
      <c r="S364" s="353"/>
      <c r="T364" s="353"/>
      <c r="U364" s="353"/>
    </row>
    <row r="365" spans="2:21">
      <c r="B365" s="367" t="s">
        <v>587</v>
      </c>
      <c r="C365" s="368"/>
      <c r="D365" s="1519" t="s">
        <v>586</v>
      </c>
      <c r="E365" s="1519"/>
      <c r="F365" s="1519"/>
      <c r="G365" s="1519"/>
      <c r="H365" s="1519"/>
      <c r="I365" s="1519"/>
      <c r="J365" s="1519"/>
      <c r="K365" s="1519"/>
      <c r="L365" s="1519"/>
      <c r="M365" s="353"/>
      <c r="N365" s="353"/>
      <c r="O365" s="353"/>
      <c r="P365" s="353"/>
      <c r="Q365" s="353"/>
      <c r="R365" s="353"/>
      <c r="S365" s="353"/>
      <c r="T365" s="353"/>
      <c r="U365" s="353"/>
    </row>
    <row r="366" spans="2:21">
      <c r="B366" s="367"/>
      <c r="C366" s="368"/>
      <c r="D366" s="1519"/>
      <c r="E366" s="1519"/>
      <c r="F366" s="1519"/>
      <c r="G366" s="1519"/>
      <c r="H366" s="1519"/>
      <c r="I366" s="1519"/>
      <c r="J366" s="1519"/>
      <c r="K366" s="1519"/>
      <c r="L366" s="1519"/>
      <c r="M366" s="353"/>
      <c r="N366" s="353"/>
      <c r="O366" s="353"/>
      <c r="P366" s="353"/>
      <c r="Q366" s="353"/>
      <c r="R366" s="353"/>
      <c r="S366" s="353"/>
      <c r="T366" s="353"/>
      <c r="U366" s="353"/>
    </row>
    <row r="367" spans="2:21">
      <c r="B367" s="367" t="s">
        <v>589</v>
      </c>
      <c r="C367" s="368"/>
      <c r="D367" s="1525" t="s">
        <v>590</v>
      </c>
      <c r="E367" s="1525"/>
      <c r="F367" s="1525"/>
      <c r="G367" s="1525"/>
      <c r="H367" s="1525"/>
      <c r="I367" s="1525"/>
      <c r="J367" s="1525"/>
      <c r="K367" s="1525"/>
      <c r="L367" s="1525"/>
      <c r="M367" s="353"/>
      <c r="N367" s="353"/>
      <c r="O367" s="353"/>
      <c r="P367" s="353"/>
      <c r="Q367" s="353"/>
      <c r="R367" s="353"/>
      <c r="S367" s="353"/>
      <c r="T367" s="353"/>
      <c r="U367" s="353"/>
    </row>
    <row r="368" spans="2:21">
      <c r="B368" s="367" t="s">
        <v>588</v>
      </c>
      <c r="C368" s="368"/>
      <c r="D368" s="1519" t="s">
        <v>591</v>
      </c>
      <c r="E368" s="1519"/>
      <c r="F368" s="1519"/>
      <c r="G368" s="1519"/>
      <c r="H368" s="1519"/>
      <c r="I368" s="1519"/>
      <c r="J368" s="1519"/>
      <c r="K368" s="1519"/>
      <c r="L368" s="1519"/>
      <c r="M368" s="353"/>
      <c r="N368" s="353"/>
      <c r="O368" s="353"/>
      <c r="P368" s="353"/>
      <c r="Q368" s="353"/>
      <c r="R368" s="353"/>
      <c r="S368" s="353"/>
      <c r="T368" s="353"/>
      <c r="U368" s="353"/>
    </row>
    <row r="369" spans="2:21">
      <c r="B369" s="367"/>
      <c r="C369" s="368"/>
      <c r="D369" s="1519"/>
      <c r="E369" s="1519"/>
      <c r="F369" s="1519"/>
      <c r="G369" s="1519"/>
      <c r="H369" s="1519"/>
      <c r="I369" s="1519"/>
      <c r="J369" s="1519"/>
      <c r="K369" s="1519"/>
      <c r="L369" s="1519"/>
      <c r="M369" s="353"/>
      <c r="N369" s="353"/>
      <c r="O369" s="353"/>
      <c r="P369" s="353"/>
      <c r="Q369" s="353"/>
      <c r="R369" s="353"/>
      <c r="S369" s="353"/>
      <c r="T369" s="353"/>
      <c r="U369" s="353"/>
    </row>
    <row r="370" spans="2:21">
      <c r="B370" s="345"/>
      <c r="C370" s="345"/>
      <c r="D370" s="1519"/>
      <c r="E370" s="1519"/>
      <c r="F370" s="1519"/>
      <c r="G370" s="1519"/>
      <c r="H370" s="1519"/>
      <c r="I370" s="1519"/>
      <c r="J370" s="1519"/>
      <c r="K370" s="1519"/>
      <c r="L370" s="1519"/>
      <c r="M370" s="353"/>
      <c r="N370" s="353"/>
      <c r="O370" s="353"/>
      <c r="P370" s="353"/>
      <c r="Q370" s="353"/>
      <c r="R370" s="353"/>
      <c r="S370" s="353"/>
      <c r="T370" s="353"/>
      <c r="U370" s="353"/>
    </row>
    <row r="371" spans="2:21" ht="18" customHeight="1">
      <c r="B371" s="1106" t="s">
        <v>621</v>
      </c>
      <c r="C371" s="1107"/>
      <c r="D371" s="533" t="s">
        <v>853</v>
      </c>
      <c r="E371" s="594"/>
      <c r="F371" s="594"/>
      <c r="G371" s="594"/>
      <c r="H371" s="345"/>
      <c r="M371" s="353"/>
      <c r="N371" s="353"/>
      <c r="O371" s="353"/>
      <c r="P371" s="353"/>
      <c r="Q371" s="353"/>
      <c r="R371" s="353"/>
      <c r="S371" s="353"/>
      <c r="T371" s="353"/>
      <c r="U371" s="353"/>
    </row>
    <row r="372" spans="2:21">
      <c r="B372" s="345"/>
      <c r="C372" s="345"/>
      <c r="D372" s="345"/>
      <c r="E372" s="345"/>
      <c r="F372" s="345"/>
      <c r="G372" s="345"/>
      <c r="H372" s="345"/>
      <c r="M372" s="353"/>
      <c r="N372" s="353"/>
      <c r="O372" s="353"/>
      <c r="P372" s="353"/>
      <c r="Q372" s="353"/>
      <c r="R372" s="353"/>
      <c r="S372" s="353"/>
      <c r="T372" s="353"/>
      <c r="U372" s="353"/>
    </row>
    <row r="373" spans="2:21">
      <c r="B373" s="1106" t="s">
        <v>955</v>
      </c>
      <c r="C373" s="427"/>
      <c r="D373" s="1518" t="s">
        <v>956</v>
      </c>
      <c r="E373" s="1518"/>
      <c r="F373" s="1518"/>
      <c r="G373" s="1518"/>
      <c r="H373" s="1518"/>
      <c r="I373" s="1518"/>
      <c r="J373" s="1518"/>
      <c r="K373" s="1518"/>
      <c r="L373" s="1518"/>
      <c r="M373" s="353"/>
      <c r="N373" s="353"/>
      <c r="O373" s="353"/>
      <c r="P373" s="353"/>
      <c r="Q373" s="353"/>
      <c r="R373" s="353"/>
      <c r="S373" s="353"/>
      <c r="T373" s="353"/>
      <c r="U373" s="353"/>
    </row>
    <row r="374" spans="2:21">
      <c r="B374" s="427"/>
      <c r="C374" s="427"/>
      <c r="D374" s="1518"/>
      <c r="E374" s="1518"/>
      <c r="F374" s="1518"/>
      <c r="G374" s="1518"/>
      <c r="H374" s="1518"/>
      <c r="I374" s="1518"/>
      <c r="J374" s="1518"/>
      <c r="K374" s="1518"/>
      <c r="L374" s="1518"/>
      <c r="M374" s="353"/>
      <c r="N374" s="353"/>
      <c r="O374" s="353"/>
      <c r="P374" s="353"/>
      <c r="Q374" s="353"/>
      <c r="R374" s="353"/>
      <c r="S374" s="353"/>
      <c r="T374" s="353"/>
      <c r="U374" s="353"/>
    </row>
    <row r="375" spans="2:21">
      <c r="B375" s="345"/>
      <c r="C375" s="345"/>
      <c r="D375" s="345"/>
      <c r="E375" s="345"/>
      <c r="F375" s="345"/>
      <c r="G375" s="345"/>
      <c r="H375" s="345"/>
      <c r="M375" s="353"/>
      <c r="N375" s="353"/>
      <c r="O375" s="353"/>
      <c r="P375" s="353"/>
      <c r="Q375" s="353"/>
      <c r="R375" s="353"/>
      <c r="S375" s="353"/>
      <c r="T375" s="353"/>
      <c r="U375" s="353"/>
    </row>
    <row r="376" spans="2:21">
      <c r="B376" s="345"/>
      <c r="C376" s="345"/>
      <c r="D376" s="345"/>
      <c r="E376" s="345"/>
      <c r="F376" s="345"/>
      <c r="G376" s="345"/>
      <c r="H376" s="345"/>
      <c r="M376" s="353"/>
      <c r="N376" s="353"/>
      <c r="O376" s="353"/>
      <c r="P376" s="353"/>
      <c r="Q376" s="353"/>
      <c r="R376" s="353"/>
      <c r="S376" s="353"/>
      <c r="T376" s="353"/>
      <c r="U376" s="353"/>
    </row>
    <row r="377" spans="2:21">
      <c r="B377" s="531"/>
      <c r="C377" s="333"/>
      <c r="D377" s="333"/>
      <c r="E377" s="333"/>
      <c r="F377" s="333"/>
      <c r="G377" s="333"/>
      <c r="H377" s="333"/>
      <c r="I377" s="333"/>
      <c r="J377" s="333"/>
      <c r="K377" s="333"/>
      <c r="L377" s="333"/>
      <c r="M377" s="333"/>
    </row>
    <row r="378" spans="2:21">
      <c r="B378" s="531"/>
      <c r="C378" s="333"/>
      <c r="D378" s="333"/>
      <c r="E378" s="333"/>
      <c r="F378" s="333"/>
      <c r="G378" s="333"/>
      <c r="H378" s="333"/>
      <c r="I378" s="333"/>
      <c r="J378" s="333"/>
      <c r="K378" s="333"/>
      <c r="L378" s="333"/>
      <c r="M378" s="333"/>
    </row>
    <row r="379" spans="2:21">
      <c r="B379" s="531"/>
      <c r="C379" s="333"/>
      <c r="D379" s="333"/>
      <c r="E379" s="333"/>
      <c r="F379" s="333"/>
      <c r="G379" s="333"/>
      <c r="H379" s="333"/>
      <c r="I379" s="333"/>
      <c r="J379" s="333"/>
      <c r="K379" s="333"/>
      <c r="L379" s="333"/>
      <c r="M379" s="333"/>
    </row>
    <row r="380" spans="2:21">
      <c r="B380" s="531"/>
      <c r="C380" s="333"/>
      <c r="D380" s="333"/>
      <c r="E380" s="333"/>
      <c r="F380" s="333"/>
      <c r="G380" s="333"/>
      <c r="H380" s="333"/>
      <c r="I380" s="333"/>
      <c r="J380" s="333"/>
      <c r="K380" s="333"/>
      <c r="L380" s="333"/>
      <c r="M380" s="333"/>
    </row>
    <row r="381" spans="2:21">
      <c r="B381" s="531"/>
      <c r="C381" s="333"/>
      <c r="D381" s="333"/>
      <c r="E381" s="333"/>
      <c r="F381" s="333"/>
      <c r="G381" s="333"/>
      <c r="H381" s="333"/>
      <c r="I381" s="333"/>
      <c r="J381" s="333"/>
      <c r="K381" s="333"/>
      <c r="L381" s="333"/>
      <c r="M381" s="333"/>
    </row>
    <row r="382" spans="2:21">
      <c r="B382" s="531"/>
      <c r="C382" s="333"/>
      <c r="D382" s="333"/>
      <c r="E382" s="333"/>
      <c r="F382" s="333"/>
      <c r="G382" s="333"/>
      <c r="H382" s="333"/>
      <c r="I382" s="333"/>
      <c r="J382" s="333"/>
      <c r="K382" s="333"/>
      <c r="L382" s="333"/>
      <c r="M382" s="333"/>
    </row>
    <row r="383" spans="2:21">
      <c r="B383" s="531"/>
      <c r="C383" s="333"/>
      <c r="D383" s="333"/>
      <c r="E383" s="333"/>
      <c r="F383" s="333"/>
      <c r="G383" s="333"/>
      <c r="H383" s="333"/>
      <c r="I383" s="333"/>
      <c r="J383" s="333"/>
      <c r="K383" s="333"/>
      <c r="L383" s="333"/>
      <c r="M383" s="333"/>
    </row>
    <row r="384" spans="2:21">
      <c r="B384" s="531"/>
      <c r="C384" s="333"/>
      <c r="D384" s="333"/>
      <c r="E384" s="333"/>
      <c r="F384" s="333"/>
      <c r="G384" s="333"/>
      <c r="H384" s="333"/>
      <c r="I384" s="333"/>
      <c r="J384" s="333"/>
      <c r="K384" s="333"/>
      <c r="L384" s="333"/>
      <c r="M384" s="333"/>
    </row>
    <row r="385" spans="2:13">
      <c r="B385" s="531"/>
      <c r="C385" s="333"/>
      <c r="D385" s="333"/>
      <c r="E385" s="333"/>
      <c r="F385" s="333"/>
      <c r="G385" s="333"/>
      <c r="H385" s="333"/>
      <c r="I385" s="333"/>
      <c r="J385" s="333"/>
      <c r="K385" s="333"/>
      <c r="L385" s="333"/>
      <c r="M385" s="333"/>
    </row>
    <row r="386" spans="2:13">
      <c r="B386" s="531"/>
      <c r="C386" s="333"/>
      <c r="D386" s="333"/>
      <c r="E386" s="333"/>
      <c r="F386" s="333"/>
      <c r="G386" s="333"/>
      <c r="H386" s="333"/>
      <c r="I386" s="333"/>
      <c r="J386" s="333"/>
      <c r="K386" s="333"/>
      <c r="L386" s="333"/>
      <c r="M386" s="333"/>
    </row>
    <row r="387" spans="2:13">
      <c r="B387" s="531"/>
      <c r="C387" s="333"/>
      <c r="D387" s="333"/>
      <c r="E387" s="333"/>
      <c r="F387" s="333"/>
      <c r="G387" s="333"/>
      <c r="H387" s="333"/>
      <c r="I387" s="333"/>
      <c r="J387" s="333"/>
      <c r="K387" s="333"/>
      <c r="L387" s="333"/>
      <c r="M387" s="333"/>
    </row>
    <row r="388" spans="2:13">
      <c r="B388" s="531"/>
      <c r="C388" s="333"/>
      <c r="D388" s="333"/>
      <c r="E388" s="333"/>
      <c r="F388" s="333"/>
      <c r="G388" s="333"/>
      <c r="H388" s="333"/>
      <c r="I388" s="333"/>
      <c r="J388" s="333"/>
      <c r="K388" s="333"/>
      <c r="L388" s="333"/>
      <c r="M388" s="333"/>
    </row>
    <row r="389" spans="2:13">
      <c r="B389" s="531"/>
      <c r="C389" s="333"/>
      <c r="D389" s="333"/>
      <c r="E389" s="333"/>
      <c r="F389" s="333"/>
      <c r="G389" s="333"/>
      <c r="H389" s="333"/>
      <c r="I389" s="333"/>
      <c r="J389" s="333"/>
      <c r="K389" s="333"/>
      <c r="L389" s="333"/>
      <c r="M389" s="333"/>
    </row>
    <row r="390" spans="2:13">
      <c r="B390" s="531"/>
      <c r="C390" s="333"/>
      <c r="D390" s="333"/>
      <c r="E390" s="333"/>
      <c r="F390" s="333"/>
      <c r="G390" s="333"/>
      <c r="H390" s="333"/>
      <c r="I390" s="333"/>
      <c r="J390" s="333"/>
      <c r="K390" s="333"/>
      <c r="L390" s="333"/>
      <c r="M390" s="333"/>
    </row>
    <row r="391" spans="2:13">
      <c r="B391" s="531"/>
      <c r="C391" s="333"/>
      <c r="D391" s="333"/>
      <c r="E391" s="333"/>
      <c r="F391" s="333"/>
      <c r="G391" s="333"/>
      <c r="H391" s="333"/>
      <c r="I391" s="333"/>
      <c r="J391" s="333"/>
      <c r="K391" s="333"/>
      <c r="L391" s="333"/>
      <c r="M391" s="333"/>
    </row>
    <row r="392" spans="2:13">
      <c r="B392" s="531"/>
      <c r="C392" s="333"/>
      <c r="D392" s="333"/>
      <c r="E392" s="333"/>
      <c r="F392" s="333"/>
      <c r="G392" s="333"/>
      <c r="H392" s="333"/>
      <c r="I392" s="333"/>
      <c r="J392" s="333"/>
      <c r="K392" s="333"/>
      <c r="L392" s="333"/>
      <c r="M392" s="333"/>
    </row>
    <row r="393" spans="2:13">
      <c r="B393" s="531"/>
      <c r="C393" s="333"/>
      <c r="D393" s="333"/>
      <c r="E393" s="333"/>
      <c r="F393" s="333"/>
      <c r="G393" s="333"/>
      <c r="H393" s="333"/>
      <c r="I393" s="333"/>
      <c r="J393" s="333"/>
      <c r="K393" s="333"/>
      <c r="L393" s="333"/>
      <c r="M393" s="333"/>
    </row>
    <row r="394" spans="2:13">
      <c r="B394" s="531"/>
      <c r="C394" s="333"/>
      <c r="D394" s="333"/>
      <c r="E394" s="333"/>
      <c r="F394" s="333"/>
      <c r="G394" s="333"/>
      <c r="H394" s="333"/>
      <c r="I394" s="333"/>
      <c r="J394" s="333"/>
      <c r="K394" s="333"/>
      <c r="L394" s="333"/>
      <c r="M394" s="333"/>
    </row>
    <row r="395" spans="2:13">
      <c r="B395" s="531"/>
      <c r="C395" s="333"/>
      <c r="D395" s="333"/>
      <c r="E395" s="333"/>
      <c r="F395" s="333"/>
      <c r="G395" s="333"/>
      <c r="H395" s="333"/>
      <c r="I395" s="333"/>
      <c r="J395" s="333"/>
      <c r="K395" s="333"/>
      <c r="L395" s="333"/>
      <c r="M395" s="333"/>
    </row>
    <row r="396" spans="2:13">
      <c r="B396" s="531"/>
      <c r="C396" s="333"/>
      <c r="D396" s="333"/>
      <c r="E396" s="333"/>
      <c r="F396" s="333"/>
      <c r="G396" s="333"/>
      <c r="H396" s="333"/>
      <c r="I396" s="333"/>
      <c r="J396" s="333"/>
      <c r="K396" s="333"/>
      <c r="L396" s="333"/>
      <c r="M396" s="333"/>
    </row>
    <row r="397" spans="2:13">
      <c r="B397" s="531"/>
      <c r="C397" s="333"/>
      <c r="D397" s="333"/>
      <c r="E397" s="333"/>
      <c r="F397" s="333"/>
      <c r="G397" s="333"/>
      <c r="H397" s="333"/>
      <c r="I397" s="333"/>
      <c r="J397" s="333"/>
      <c r="K397" s="333"/>
      <c r="L397" s="333"/>
      <c r="M397" s="333"/>
    </row>
    <row r="398" spans="2:13">
      <c r="B398" s="531"/>
      <c r="C398" s="333"/>
      <c r="D398" s="333"/>
      <c r="E398" s="333"/>
      <c r="F398" s="333"/>
      <c r="G398" s="333"/>
      <c r="H398" s="333"/>
      <c r="I398" s="333"/>
      <c r="J398" s="333"/>
      <c r="K398" s="333"/>
      <c r="L398" s="333"/>
      <c r="M398" s="333"/>
    </row>
    <row r="399" spans="2:13">
      <c r="B399" s="531"/>
      <c r="C399" s="333"/>
      <c r="D399" s="333"/>
      <c r="E399" s="333"/>
      <c r="F399" s="333"/>
      <c r="G399" s="333"/>
      <c r="H399" s="333"/>
      <c r="I399" s="333"/>
      <c r="J399" s="333"/>
      <c r="K399" s="333"/>
      <c r="L399" s="333"/>
      <c r="M399" s="333"/>
    </row>
    <row r="400" spans="2:13">
      <c r="B400" s="531"/>
      <c r="C400" s="333"/>
      <c r="D400" s="333"/>
      <c r="E400" s="333"/>
      <c r="F400" s="333"/>
      <c r="G400" s="333"/>
      <c r="H400" s="333"/>
      <c r="I400" s="333"/>
      <c r="J400" s="333"/>
      <c r="K400" s="333"/>
      <c r="L400" s="333"/>
      <c r="M400" s="333"/>
    </row>
    <row r="401" spans="2:13">
      <c r="B401" s="531"/>
      <c r="C401" s="333"/>
      <c r="D401" s="333"/>
      <c r="E401" s="333"/>
      <c r="F401" s="333"/>
      <c r="G401" s="333"/>
      <c r="H401" s="333"/>
      <c r="I401" s="333"/>
      <c r="J401" s="333"/>
      <c r="K401" s="333"/>
      <c r="L401" s="333"/>
      <c r="M401" s="333"/>
    </row>
    <row r="402" spans="2:13">
      <c r="B402" s="531"/>
      <c r="C402" s="333"/>
      <c r="D402" s="333"/>
      <c r="E402" s="333"/>
      <c r="F402" s="333"/>
      <c r="G402" s="333"/>
      <c r="H402" s="333"/>
      <c r="I402" s="333"/>
      <c r="J402" s="333"/>
      <c r="K402" s="333"/>
      <c r="L402" s="333"/>
      <c r="M402" s="333"/>
    </row>
    <row r="403" spans="2:13">
      <c r="B403" s="531"/>
      <c r="C403" s="333"/>
      <c r="D403" s="333"/>
      <c r="E403" s="333"/>
      <c r="F403" s="333"/>
      <c r="G403" s="333"/>
      <c r="H403" s="333"/>
      <c r="I403" s="333"/>
      <c r="J403" s="333"/>
      <c r="K403" s="333"/>
      <c r="L403" s="333"/>
      <c r="M403" s="333"/>
    </row>
    <row r="404" spans="2:13">
      <c r="B404" s="531"/>
      <c r="C404" s="333"/>
      <c r="D404" s="333"/>
      <c r="E404" s="333"/>
      <c r="F404" s="333"/>
      <c r="G404" s="333"/>
      <c r="H404" s="333"/>
      <c r="I404" s="333"/>
      <c r="J404" s="333"/>
      <c r="K404" s="333"/>
      <c r="L404" s="333"/>
      <c r="M404" s="333"/>
    </row>
    <row r="405" spans="2:13">
      <c r="B405" s="531"/>
      <c r="C405" s="333"/>
      <c r="D405" s="333"/>
      <c r="E405" s="333"/>
      <c r="F405" s="333"/>
      <c r="G405" s="333"/>
      <c r="H405" s="333"/>
      <c r="I405" s="333"/>
      <c r="J405" s="333"/>
      <c r="K405" s="333"/>
      <c r="L405" s="333"/>
      <c r="M405" s="333"/>
    </row>
    <row r="406" spans="2:13">
      <c r="B406" s="531"/>
      <c r="C406" s="333"/>
      <c r="D406" s="333"/>
      <c r="E406" s="333"/>
      <c r="F406" s="333"/>
      <c r="G406" s="333"/>
      <c r="H406" s="333"/>
      <c r="I406" s="333"/>
      <c r="J406" s="333"/>
      <c r="K406" s="333"/>
      <c r="L406" s="333"/>
      <c r="M406" s="333"/>
    </row>
    <row r="407" spans="2:13">
      <c r="B407" s="531"/>
      <c r="C407" s="333"/>
      <c r="D407" s="333"/>
      <c r="E407" s="333"/>
      <c r="F407" s="333"/>
      <c r="G407" s="333"/>
      <c r="H407" s="333"/>
      <c r="I407" s="333"/>
      <c r="J407" s="333"/>
      <c r="K407" s="333"/>
      <c r="L407" s="333"/>
      <c r="M407" s="333"/>
    </row>
    <row r="408" spans="2:13">
      <c r="B408" s="531"/>
      <c r="C408" s="333"/>
      <c r="D408" s="333"/>
      <c r="E408" s="333"/>
      <c r="F408" s="333"/>
      <c r="G408" s="333"/>
      <c r="H408" s="333"/>
      <c r="I408" s="333"/>
      <c r="J408" s="333"/>
      <c r="K408" s="333"/>
      <c r="L408" s="333"/>
      <c r="M408" s="333"/>
    </row>
    <row r="409" spans="2:13">
      <c r="B409" s="531"/>
      <c r="C409" s="333"/>
      <c r="D409" s="333"/>
      <c r="E409" s="333"/>
      <c r="F409" s="333"/>
      <c r="G409" s="333"/>
      <c r="H409" s="333"/>
      <c r="I409" s="333"/>
      <c r="J409" s="333"/>
      <c r="K409" s="333"/>
      <c r="L409" s="333"/>
      <c r="M409" s="333"/>
    </row>
    <row r="410" spans="2:13">
      <c r="B410" s="531"/>
      <c r="C410" s="333"/>
      <c r="D410" s="333"/>
      <c r="E410" s="333"/>
      <c r="F410" s="333"/>
      <c r="G410" s="333"/>
      <c r="H410" s="333"/>
      <c r="I410" s="333"/>
      <c r="J410" s="333"/>
      <c r="K410" s="333"/>
      <c r="L410" s="333"/>
      <c r="M410" s="333"/>
    </row>
    <row r="411" spans="2:13">
      <c r="B411" s="531"/>
      <c r="C411" s="333"/>
      <c r="D411" s="333"/>
      <c r="E411" s="333"/>
      <c r="F411" s="333"/>
      <c r="G411" s="333"/>
      <c r="H411" s="333"/>
      <c r="I411" s="333"/>
      <c r="J411" s="333"/>
      <c r="K411" s="333"/>
      <c r="L411" s="333"/>
      <c r="M411" s="333"/>
    </row>
    <row r="412" spans="2:13">
      <c r="B412" s="531"/>
      <c r="C412" s="333"/>
      <c r="D412" s="333"/>
      <c r="E412" s="333"/>
      <c r="F412" s="333"/>
      <c r="G412" s="333"/>
      <c r="H412" s="333"/>
      <c r="I412" s="333"/>
      <c r="J412" s="333"/>
      <c r="K412" s="333"/>
      <c r="L412" s="333"/>
      <c r="M412" s="333"/>
    </row>
    <row r="413" spans="2:13">
      <c r="B413" s="531"/>
      <c r="C413" s="333"/>
      <c r="D413" s="333"/>
      <c r="E413" s="333"/>
      <c r="F413" s="333"/>
      <c r="G413" s="333"/>
      <c r="H413" s="333"/>
      <c r="I413" s="333"/>
      <c r="J413" s="333"/>
      <c r="K413" s="333"/>
      <c r="L413" s="333"/>
      <c r="M413" s="333"/>
    </row>
    <row r="414" spans="2:13">
      <c r="B414" s="531"/>
      <c r="C414" s="333"/>
      <c r="D414" s="333"/>
      <c r="E414" s="333"/>
      <c r="F414" s="333"/>
      <c r="G414" s="333"/>
      <c r="H414" s="333"/>
      <c r="I414" s="333"/>
      <c r="J414" s="333"/>
      <c r="K414" s="333"/>
      <c r="L414" s="333"/>
      <c r="M414" s="333"/>
    </row>
    <row r="415" spans="2:13">
      <c r="B415" s="531"/>
      <c r="C415" s="333"/>
      <c r="D415" s="333"/>
      <c r="E415" s="333"/>
      <c r="F415" s="333"/>
      <c r="G415" s="333"/>
      <c r="H415" s="333"/>
      <c r="I415" s="333"/>
      <c r="J415" s="333"/>
      <c r="K415" s="333"/>
      <c r="L415" s="333"/>
      <c r="M415" s="333"/>
    </row>
    <row r="416" spans="2:13">
      <c r="B416" s="531"/>
      <c r="C416" s="333"/>
      <c r="D416" s="333"/>
      <c r="E416" s="333"/>
      <c r="F416" s="333"/>
      <c r="G416" s="333"/>
      <c r="H416" s="333"/>
      <c r="I416" s="333"/>
      <c r="J416" s="333"/>
      <c r="K416" s="333"/>
      <c r="L416" s="333"/>
      <c r="M416" s="333"/>
    </row>
    <row r="417" spans="2:13">
      <c r="B417" s="531"/>
      <c r="C417" s="333"/>
      <c r="D417" s="333"/>
      <c r="E417" s="333"/>
      <c r="F417" s="333"/>
      <c r="G417" s="333"/>
      <c r="H417" s="333"/>
      <c r="I417" s="333"/>
      <c r="J417" s="333"/>
      <c r="K417" s="333"/>
      <c r="L417" s="333"/>
      <c r="M417" s="333"/>
    </row>
    <row r="418" spans="2:13">
      <c r="B418" s="531"/>
      <c r="C418" s="333"/>
      <c r="D418" s="333"/>
      <c r="E418" s="333"/>
      <c r="F418" s="333"/>
      <c r="G418" s="333"/>
      <c r="H418" s="333"/>
      <c r="I418" s="333"/>
      <c r="J418" s="333"/>
      <c r="K418" s="333"/>
      <c r="L418" s="333"/>
      <c r="M418" s="333"/>
    </row>
    <row r="419" spans="2:13">
      <c r="B419" s="531"/>
      <c r="C419" s="333"/>
      <c r="D419" s="333"/>
      <c r="E419" s="333"/>
      <c r="F419" s="333"/>
      <c r="G419" s="333"/>
      <c r="H419" s="333"/>
      <c r="I419" s="333"/>
      <c r="J419" s="333"/>
      <c r="K419" s="333"/>
      <c r="L419" s="333"/>
      <c r="M419" s="333"/>
    </row>
    <row r="420" spans="2:13">
      <c r="B420" s="531"/>
      <c r="C420" s="333"/>
      <c r="D420" s="333"/>
      <c r="E420" s="333"/>
      <c r="F420" s="333"/>
      <c r="G420" s="333"/>
      <c r="H420" s="333"/>
      <c r="I420" s="333"/>
      <c r="J420" s="333"/>
      <c r="K420" s="333"/>
      <c r="L420" s="333"/>
      <c r="M420" s="333"/>
    </row>
    <row r="421" spans="2:13">
      <c r="B421" s="531"/>
      <c r="C421" s="333"/>
      <c r="D421" s="333"/>
      <c r="E421" s="333"/>
      <c r="F421" s="333"/>
      <c r="G421" s="333"/>
      <c r="H421" s="333"/>
      <c r="I421" s="333"/>
      <c r="J421" s="333"/>
      <c r="K421" s="333"/>
      <c r="L421" s="333"/>
      <c r="M421" s="333"/>
    </row>
    <row r="422" spans="2:13">
      <c r="B422" s="531"/>
      <c r="C422" s="333"/>
      <c r="D422" s="333"/>
      <c r="E422" s="333"/>
      <c r="F422" s="333"/>
      <c r="G422" s="333"/>
      <c r="H422" s="333"/>
      <c r="I422" s="333"/>
      <c r="J422" s="333"/>
      <c r="K422" s="333"/>
      <c r="L422" s="333"/>
      <c r="M422" s="333"/>
    </row>
    <row r="423" spans="2:13">
      <c r="B423" s="531"/>
      <c r="C423" s="333"/>
      <c r="D423" s="333"/>
      <c r="E423" s="333"/>
      <c r="F423" s="333"/>
      <c r="G423" s="333"/>
      <c r="H423" s="333"/>
      <c r="I423" s="333"/>
      <c r="J423" s="333"/>
      <c r="K423" s="333"/>
      <c r="L423" s="333"/>
      <c r="M423" s="333"/>
    </row>
    <row r="424" spans="2:13">
      <c r="B424" s="531"/>
      <c r="C424" s="333"/>
      <c r="D424" s="333"/>
      <c r="E424" s="333"/>
      <c r="F424" s="333"/>
      <c r="G424" s="333"/>
      <c r="H424" s="333"/>
      <c r="I424" s="333"/>
      <c r="J424" s="333"/>
      <c r="K424" s="333"/>
      <c r="L424" s="333"/>
      <c r="M424" s="333"/>
    </row>
    <row r="425" spans="2:13">
      <c r="B425" s="531"/>
      <c r="C425" s="333"/>
      <c r="D425" s="333"/>
      <c r="E425" s="333"/>
      <c r="F425" s="333"/>
      <c r="G425" s="333"/>
      <c r="H425" s="333"/>
      <c r="I425" s="333"/>
      <c r="J425" s="333"/>
      <c r="K425" s="333"/>
      <c r="L425" s="333"/>
      <c r="M425" s="333"/>
    </row>
    <row r="426" spans="2:13">
      <c r="B426" s="531"/>
      <c r="C426" s="333"/>
      <c r="D426" s="333"/>
      <c r="E426" s="333"/>
      <c r="F426" s="333"/>
      <c r="G426" s="333"/>
      <c r="H426" s="333"/>
      <c r="I426" s="333"/>
      <c r="J426" s="333"/>
      <c r="K426" s="333"/>
      <c r="L426" s="333"/>
      <c r="M426" s="333"/>
    </row>
    <row r="427" spans="2:13">
      <c r="B427" s="531"/>
      <c r="C427" s="333"/>
      <c r="D427" s="333"/>
      <c r="E427" s="333"/>
      <c r="F427" s="333"/>
      <c r="G427" s="333"/>
      <c r="H427" s="333"/>
      <c r="I427" s="333"/>
      <c r="J427" s="333"/>
      <c r="K427" s="333"/>
      <c r="L427" s="333"/>
      <c r="M427" s="333"/>
    </row>
    <row r="428" spans="2:13">
      <c r="B428" s="531"/>
      <c r="C428" s="333"/>
      <c r="D428" s="333"/>
      <c r="E428" s="333"/>
      <c r="F428" s="333"/>
      <c r="G428" s="333"/>
      <c r="H428" s="333"/>
      <c r="I428" s="333"/>
      <c r="J428" s="333"/>
      <c r="K428" s="333"/>
      <c r="L428" s="333"/>
      <c r="M428" s="333"/>
    </row>
    <row r="429" spans="2:13">
      <c r="B429" s="531"/>
      <c r="C429" s="333"/>
      <c r="D429" s="333"/>
      <c r="E429" s="333"/>
      <c r="F429" s="333"/>
      <c r="G429" s="333"/>
      <c r="H429" s="333"/>
      <c r="I429" s="333"/>
      <c r="J429" s="333"/>
      <c r="K429" s="333"/>
      <c r="L429" s="333"/>
      <c r="M429" s="333"/>
    </row>
    <row r="430" spans="2:13">
      <c r="B430" s="531"/>
      <c r="C430" s="333"/>
      <c r="D430" s="333"/>
      <c r="E430" s="333"/>
      <c r="F430" s="333"/>
      <c r="G430" s="333"/>
      <c r="H430" s="333"/>
      <c r="I430" s="333"/>
      <c r="J430" s="333"/>
      <c r="K430" s="333"/>
      <c r="L430" s="333"/>
      <c r="M430" s="333"/>
    </row>
    <row r="431" spans="2:13">
      <c r="B431" s="531"/>
      <c r="C431" s="333"/>
      <c r="D431" s="333"/>
      <c r="E431" s="333"/>
      <c r="F431" s="333"/>
      <c r="G431" s="333"/>
      <c r="H431" s="333"/>
      <c r="I431" s="333"/>
      <c r="J431" s="333"/>
      <c r="K431" s="333"/>
      <c r="L431" s="333"/>
      <c r="M431" s="333"/>
    </row>
    <row r="432" spans="2:13">
      <c r="B432" s="531"/>
      <c r="C432" s="333"/>
      <c r="D432" s="333"/>
      <c r="E432" s="333"/>
      <c r="F432" s="333"/>
      <c r="G432" s="333"/>
      <c r="H432" s="333"/>
      <c r="I432" s="333"/>
      <c r="J432" s="333"/>
      <c r="K432" s="333"/>
      <c r="L432" s="333"/>
      <c r="M432" s="333"/>
    </row>
    <row r="433" spans="2:13">
      <c r="B433" s="531"/>
      <c r="C433" s="333"/>
      <c r="D433" s="333"/>
      <c r="E433" s="333"/>
      <c r="F433" s="333"/>
      <c r="G433" s="333"/>
      <c r="H433" s="333"/>
      <c r="I433" s="333"/>
      <c r="J433" s="333"/>
      <c r="K433" s="333"/>
      <c r="L433" s="333"/>
      <c r="M433" s="333"/>
    </row>
    <row r="434" spans="2:13">
      <c r="B434" s="531"/>
      <c r="C434" s="333"/>
      <c r="D434" s="333"/>
      <c r="E434" s="333"/>
      <c r="F434" s="333"/>
      <c r="G434" s="333"/>
      <c r="H434" s="333"/>
      <c r="I434" s="333"/>
      <c r="J434" s="333"/>
      <c r="K434" s="333"/>
      <c r="L434" s="333"/>
      <c r="M434" s="333"/>
    </row>
    <row r="435" spans="2:13">
      <c r="B435" s="531"/>
      <c r="C435" s="333"/>
      <c r="D435" s="333"/>
      <c r="E435" s="333"/>
      <c r="F435" s="333"/>
      <c r="G435" s="333"/>
      <c r="H435" s="333"/>
      <c r="I435" s="333"/>
      <c r="J435" s="333"/>
      <c r="K435" s="333"/>
      <c r="L435" s="333"/>
      <c r="M435" s="333"/>
    </row>
    <row r="436" spans="2:13">
      <c r="B436" s="531"/>
      <c r="C436" s="333"/>
      <c r="D436" s="333"/>
      <c r="E436" s="333"/>
      <c r="F436" s="333"/>
      <c r="G436" s="333"/>
      <c r="H436" s="333"/>
      <c r="I436" s="333"/>
      <c r="J436" s="333"/>
      <c r="K436" s="333"/>
      <c r="L436" s="333"/>
      <c r="M436" s="333"/>
    </row>
    <row r="437" spans="2:13">
      <c r="B437" s="531"/>
      <c r="C437" s="333"/>
      <c r="D437" s="333"/>
      <c r="E437" s="333"/>
      <c r="F437" s="333"/>
      <c r="G437" s="333"/>
      <c r="H437" s="333"/>
      <c r="I437" s="333"/>
      <c r="J437" s="333"/>
      <c r="K437" s="333"/>
      <c r="L437" s="333"/>
      <c r="M437" s="333"/>
    </row>
    <row r="438" spans="2:13">
      <c r="B438" s="531"/>
      <c r="C438" s="333"/>
      <c r="D438" s="333"/>
      <c r="E438" s="333"/>
      <c r="F438" s="333"/>
      <c r="G438" s="333"/>
      <c r="H438" s="333"/>
      <c r="I438" s="333"/>
      <c r="J438" s="333"/>
      <c r="K438" s="333"/>
      <c r="L438" s="333"/>
      <c r="M438" s="333"/>
    </row>
    <row r="439" spans="2:13">
      <c r="B439" s="531"/>
      <c r="C439" s="333"/>
      <c r="D439" s="333"/>
      <c r="E439" s="333"/>
      <c r="F439" s="333"/>
      <c r="G439" s="333"/>
      <c r="H439" s="333"/>
      <c r="I439" s="333"/>
      <c r="J439" s="333"/>
      <c r="K439" s="333"/>
      <c r="L439" s="333"/>
      <c r="M439" s="333"/>
    </row>
    <row r="440" spans="2:13">
      <c r="B440" s="531"/>
      <c r="C440" s="333"/>
      <c r="D440" s="333"/>
      <c r="E440" s="333"/>
      <c r="F440" s="333"/>
      <c r="G440" s="333"/>
      <c r="H440" s="333"/>
      <c r="I440" s="333"/>
      <c r="J440" s="333"/>
      <c r="K440" s="333"/>
      <c r="L440" s="333"/>
      <c r="M440" s="333"/>
    </row>
    <row r="441" spans="2:13">
      <c r="B441" s="531"/>
      <c r="C441" s="333"/>
      <c r="D441" s="333"/>
      <c r="E441" s="333"/>
      <c r="F441" s="333"/>
      <c r="G441" s="333"/>
      <c r="H441" s="333"/>
      <c r="I441" s="333"/>
      <c r="J441" s="333"/>
      <c r="K441" s="333"/>
      <c r="L441" s="333"/>
      <c r="M441" s="333"/>
    </row>
    <row r="442" spans="2:13">
      <c r="B442" s="531"/>
      <c r="C442" s="333"/>
      <c r="D442" s="333"/>
      <c r="E442" s="333"/>
      <c r="F442" s="333"/>
      <c r="G442" s="333"/>
      <c r="H442" s="333"/>
      <c r="I442" s="333"/>
      <c r="J442" s="333"/>
      <c r="K442" s="333"/>
      <c r="L442" s="333"/>
      <c r="M442" s="333"/>
    </row>
    <row r="443" spans="2:13">
      <c r="B443" s="531"/>
      <c r="C443" s="333"/>
      <c r="D443" s="333"/>
      <c r="E443" s="333"/>
      <c r="F443" s="333"/>
      <c r="G443" s="333"/>
      <c r="H443" s="333"/>
      <c r="I443" s="333"/>
      <c r="J443" s="333"/>
      <c r="K443" s="333"/>
      <c r="L443" s="333"/>
      <c r="M443" s="333"/>
    </row>
    <row r="444" spans="2:13">
      <c r="B444" s="531"/>
      <c r="C444" s="333"/>
      <c r="D444" s="333"/>
      <c r="E444" s="333"/>
      <c r="F444" s="333"/>
      <c r="G444" s="333"/>
      <c r="H444" s="333"/>
      <c r="I444" s="333"/>
      <c r="J444" s="333"/>
      <c r="K444" s="333"/>
      <c r="L444" s="333"/>
      <c r="M444" s="333"/>
    </row>
    <row r="445" spans="2:13">
      <c r="B445" s="531"/>
      <c r="C445" s="333"/>
      <c r="D445" s="333"/>
      <c r="E445" s="333"/>
      <c r="F445" s="333"/>
      <c r="G445" s="333"/>
      <c r="H445" s="333"/>
      <c r="I445" s="333"/>
      <c r="J445" s="333"/>
      <c r="K445" s="333"/>
      <c r="L445" s="333"/>
      <c r="M445" s="333"/>
    </row>
    <row r="446" spans="2:13">
      <c r="B446" s="531"/>
      <c r="C446" s="333"/>
      <c r="D446" s="333"/>
      <c r="E446" s="333"/>
      <c r="F446" s="333"/>
      <c r="G446" s="333"/>
      <c r="H446" s="333"/>
      <c r="I446" s="333"/>
      <c r="J446" s="333"/>
      <c r="K446" s="333"/>
      <c r="L446" s="333"/>
      <c r="M446" s="333"/>
    </row>
    <row r="447" spans="2:13">
      <c r="B447" s="531"/>
      <c r="C447" s="333"/>
      <c r="D447" s="333"/>
      <c r="E447" s="333"/>
      <c r="F447" s="333"/>
      <c r="G447" s="333"/>
      <c r="H447" s="333"/>
      <c r="I447" s="333"/>
      <c r="J447" s="333"/>
      <c r="K447" s="333"/>
      <c r="L447" s="333"/>
      <c r="M447" s="333"/>
    </row>
    <row r="448" spans="2:13">
      <c r="B448" s="531"/>
      <c r="C448" s="333"/>
      <c r="D448" s="333"/>
      <c r="E448" s="333"/>
      <c r="F448" s="333"/>
      <c r="G448" s="333"/>
      <c r="H448" s="333"/>
      <c r="I448" s="333"/>
      <c r="J448" s="333"/>
      <c r="K448" s="333"/>
      <c r="L448" s="333"/>
      <c r="M448" s="333"/>
    </row>
    <row r="449" spans="2:13">
      <c r="B449" s="531"/>
      <c r="C449" s="333"/>
      <c r="D449" s="333"/>
      <c r="E449" s="333"/>
      <c r="F449" s="333"/>
      <c r="G449" s="333"/>
      <c r="H449" s="333"/>
      <c r="I449" s="333"/>
      <c r="J449" s="333"/>
      <c r="K449" s="333"/>
      <c r="L449" s="333"/>
      <c r="M449" s="333"/>
    </row>
    <row r="450" spans="2:13">
      <c r="B450" s="531"/>
      <c r="C450" s="333"/>
      <c r="D450" s="333"/>
      <c r="E450" s="333"/>
      <c r="F450" s="333"/>
      <c r="G450" s="333"/>
      <c r="H450" s="333"/>
      <c r="I450" s="333"/>
      <c r="J450" s="333"/>
      <c r="K450" s="333"/>
      <c r="L450" s="333"/>
      <c r="M450" s="333"/>
    </row>
    <row r="451" spans="2:13">
      <c r="B451" s="531"/>
      <c r="C451" s="333"/>
      <c r="D451" s="333"/>
      <c r="E451" s="333"/>
      <c r="F451" s="333"/>
      <c r="G451" s="333"/>
      <c r="H451" s="333"/>
      <c r="I451" s="333"/>
      <c r="J451" s="333"/>
      <c r="K451" s="333"/>
      <c r="L451" s="333"/>
      <c r="M451" s="333"/>
    </row>
    <row r="452" spans="2:13">
      <c r="B452" s="531"/>
      <c r="C452" s="333"/>
      <c r="D452" s="333"/>
      <c r="E452" s="333"/>
      <c r="F452" s="333"/>
      <c r="G452" s="333"/>
      <c r="H452" s="333"/>
      <c r="I452" s="333"/>
      <c r="J452" s="333"/>
      <c r="K452" s="333"/>
      <c r="L452" s="333"/>
      <c r="M452" s="333"/>
    </row>
    <row r="453" spans="2:13">
      <c r="B453" s="531"/>
      <c r="C453" s="333"/>
      <c r="D453" s="333"/>
      <c r="E453" s="333"/>
      <c r="F453" s="333"/>
      <c r="G453" s="333"/>
      <c r="H453" s="333"/>
      <c r="I453" s="333"/>
      <c r="J453" s="333"/>
      <c r="K453" s="333"/>
      <c r="L453" s="333"/>
      <c r="M453" s="333"/>
    </row>
    <row r="454" spans="2:13">
      <c r="B454" s="531"/>
      <c r="C454" s="333"/>
      <c r="D454" s="333"/>
      <c r="E454" s="333"/>
      <c r="F454" s="333"/>
      <c r="G454" s="333"/>
      <c r="H454" s="333"/>
      <c r="I454" s="333"/>
      <c r="J454" s="333"/>
      <c r="K454" s="333"/>
      <c r="L454" s="333"/>
      <c r="M454" s="333"/>
    </row>
    <row r="455" spans="2:13">
      <c r="B455" s="531"/>
      <c r="C455" s="333"/>
      <c r="D455" s="333"/>
      <c r="E455" s="333"/>
      <c r="F455" s="333"/>
      <c r="G455" s="333"/>
      <c r="H455" s="333"/>
      <c r="I455" s="333"/>
      <c r="J455" s="333"/>
      <c r="K455" s="333"/>
      <c r="L455" s="333"/>
      <c r="M455" s="333"/>
    </row>
    <row r="456" spans="2:13">
      <c r="B456" s="531"/>
      <c r="C456" s="333"/>
      <c r="D456" s="333"/>
      <c r="E456" s="333"/>
      <c r="F456" s="333"/>
      <c r="G456" s="333"/>
      <c r="H456" s="333"/>
      <c r="I456" s="333"/>
      <c r="J456" s="333"/>
      <c r="K456" s="333"/>
      <c r="L456" s="333"/>
      <c r="M456" s="333"/>
    </row>
    <row r="457" spans="2:13">
      <c r="B457" s="531"/>
      <c r="C457" s="333"/>
      <c r="D457" s="333"/>
      <c r="E457" s="333"/>
      <c r="F457" s="333"/>
      <c r="G457" s="333"/>
      <c r="H457" s="333"/>
      <c r="I457" s="333"/>
      <c r="J457" s="333"/>
      <c r="K457" s="333"/>
      <c r="L457" s="333"/>
      <c r="M457" s="333"/>
    </row>
    <row r="458" spans="2:13">
      <c r="B458" s="531"/>
      <c r="C458" s="333"/>
      <c r="D458" s="333"/>
      <c r="E458" s="333"/>
      <c r="F458" s="333"/>
      <c r="G458" s="333"/>
      <c r="H458" s="333"/>
      <c r="I458" s="333"/>
      <c r="J458" s="333"/>
      <c r="K458" s="333"/>
      <c r="L458" s="333"/>
      <c r="M458" s="333"/>
    </row>
    <row r="459" spans="2:13">
      <c r="B459" s="531"/>
      <c r="C459" s="333"/>
      <c r="D459" s="333"/>
      <c r="E459" s="333"/>
      <c r="F459" s="333"/>
      <c r="G459" s="333"/>
      <c r="H459" s="333"/>
      <c r="I459" s="333"/>
      <c r="J459" s="333"/>
      <c r="K459" s="333"/>
      <c r="L459" s="333"/>
      <c r="M459" s="333"/>
    </row>
    <row r="460" spans="2:13">
      <c r="B460" s="531"/>
      <c r="C460" s="333"/>
      <c r="D460" s="333"/>
      <c r="E460" s="333"/>
      <c r="F460" s="333"/>
      <c r="G460" s="333"/>
      <c r="H460" s="333"/>
      <c r="I460" s="333"/>
      <c r="J460" s="333"/>
      <c r="K460" s="333"/>
      <c r="L460" s="333"/>
      <c r="M460" s="333"/>
    </row>
    <row r="461" spans="2:13">
      <c r="B461" s="531"/>
      <c r="C461" s="333"/>
      <c r="D461" s="333"/>
      <c r="E461" s="333"/>
      <c r="F461" s="333"/>
      <c r="G461" s="333"/>
      <c r="H461" s="333"/>
      <c r="I461" s="333"/>
      <c r="J461" s="333"/>
      <c r="K461" s="333"/>
      <c r="L461" s="333"/>
      <c r="M461" s="333"/>
    </row>
    <row r="462" spans="2:13">
      <c r="B462" s="531"/>
      <c r="C462" s="333"/>
      <c r="D462" s="333"/>
      <c r="E462" s="333"/>
      <c r="F462" s="333"/>
      <c r="G462" s="333"/>
      <c r="H462" s="333"/>
      <c r="I462" s="333"/>
      <c r="J462" s="333"/>
      <c r="K462" s="333"/>
      <c r="L462" s="333"/>
      <c r="M462" s="333"/>
    </row>
    <row r="463" spans="2:13">
      <c r="B463" s="531"/>
      <c r="C463" s="333"/>
      <c r="D463" s="333"/>
      <c r="E463" s="333"/>
      <c r="F463" s="333"/>
      <c r="G463" s="333"/>
      <c r="H463" s="333"/>
      <c r="I463" s="333"/>
      <c r="J463" s="333"/>
      <c r="K463" s="333"/>
      <c r="L463" s="333"/>
      <c r="M463" s="333"/>
    </row>
    <row r="464" spans="2:13">
      <c r="B464" s="531"/>
      <c r="C464" s="333"/>
      <c r="D464" s="333"/>
      <c r="E464" s="333"/>
      <c r="F464" s="333"/>
      <c r="G464" s="333"/>
      <c r="H464" s="333"/>
      <c r="I464" s="333"/>
      <c r="J464" s="333"/>
      <c r="K464" s="333"/>
      <c r="L464" s="333"/>
      <c r="M464" s="333"/>
    </row>
    <row r="465" spans="2:13">
      <c r="B465" s="531"/>
      <c r="C465" s="333"/>
      <c r="D465" s="333"/>
      <c r="E465" s="333"/>
      <c r="F465" s="333"/>
      <c r="G465" s="333"/>
      <c r="H465" s="333"/>
      <c r="I465" s="333"/>
      <c r="J465" s="333"/>
      <c r="K465" s="333"/>
      <c r="L465" s="333"/>
      <c r="M465" s="333"/>
    </row>
    <row r="466" spans="2:13">
      <c r="B466" s="531"/>
      <c r="C466" s="333"/>
      <c r="D466" s="333"/>
      <c r="E466" s="333"/>
      <c r="F466" s="333"/>
      <c r="G466" s="333"/>
      <c r="H466" s="333"/>
      <c r="I466" s="333"/>
      <c r="J466" s="333"/>
      <c r="K466" s="333"/>
      <c r="L466" s="333"/>
      <c r="M466" s="333"/>
    </row>
    <row r="467" spans="2:13">
      <c r="B467" s="531"/>
      <c r="C467" s="333"/>
      <c r="D467" s="333"/>
      <c r="E467" s="333"/>
      <c r="F467" s="333"/>
      <c r="G467" s="333"/>
      <c r="H467" s="333"/>
      <c r="I467" s="333"/>
      <c r="J467" s="333"/>
      <c r="K467" s="333"/>
      <c r="L467" s="333"/>
      <c r="M467" s="333"/>
    </row>
    <row r="468" spans="2:13">
      <c r="B468" s="531"/>
      <c r="C468" s="333"/>
      <c r="D468" s="333"/>
      <c r="E468" s="333"/>
      <c r="F468" s="333"/>
      <c r="G468" s="333"/>
      <c r="H468" s="333"/>
      <c r="I468" s="333"/>
      <c r="J468" s="333"/>
      <c r="K468" s="333"/>
      <c r="L468" s="333"/>
      <c r="M468" s="333"/>
    </row>
    <row r="469" spans="2:13">
      <c r="B469" s="531"/>
      <c r="C469" s="333"/>
      <c r="D469" s="333"/>
      <c r="E469" s="333"/>
      <c r="F469" s="333"/>
      <c r="G469" s="333"/>
      <c r="H469" s="333"/>
      <c r="I469" s="333"/>
      <c r="J469" s="333"/>
      <c r="K469" s="333"/>
      <c r="L469" s="333"/>
      <c r="M469" s="333"/>
    </row>
    <row r="470" spans="2:13">
      <c r="B470" s="531"/>
      <c r="C470" s="333"/>
      <c r="D470" s="333"/>
      <c r="E470" s="333"/>
      <c r="F470" s="333"/>
      <c r="G470" s="333"/>
      <c r="H470" s="333"/>
      <c r="I470" s="333"/>
      <c r="J470" s="333"/>
      <c r="K470" s="333"/>
      <c r="L470" s="333"/>
      <c r="M470" s="333"/>
    </row>
    <row r="471" spans="2:13">
      <c r="B471" s="531"/>
      <c r="C471" s="333"/>
      <c r="D471" s="333"/>
      <c r="E471" s="333"/>
      <c r="F471" s="333"/>
      <c r="G471" s="333"/>
      <c r="H471" s="333"/>
      <c r="I471" s="333"/>
      <c r="J471" s="333"/>
      <c r="K471" s="333"/>
      <c r="L471" s="333"/>
      <c r="M471" s="333"/>
    </row>
    <row r="472" spans="2:13">
      <c r="B472" s="531"/>
      <c r="C472" s="333"/>
      <c r="D472" s="333"/>
      <c r="E472" s="333"/>
      <c r="F472" s="333"/>
      <c r="G472" s="333"/>
      <c r="H472" s="333"/>
      <c r="I472" s="333"/>
      <c r="J472" s="333"/>
      <c r="K472" s="333"/>
      <c r="L472" s="333"/>
      <c r="M472" s="333"/>
    </row>
    <row r="473" spans="2:13">
      <c r="B473" s="531"/>
      <c r="C473" s="333"/>
      <c r="D473" s="333"/>
      <c r="E473" s="333"/>
      <c r="F473" s="333"/>
      <c r="G473" s="333"/>
      <c r="H473" s="333"/>
      <c r="I473" s="333"/>
      <c r="J473" s="333"/>
      <c r="K473" s="333"/>
      <c r="L473" s="333"/>
      <c r="M473" s="333"/>
    </row>
    <row r="474" spans="2:13">
      <c r="B474" s="531"/>
      <c r="C474" s="333"/>
      <c r="D474" s="333"/>
      <c r="E474" s="333"/>
      <c r="F474" s="333"/>
      <c r="G474" s="333"/>
      <c r="H474" s="333"/>
      <c r="I474" s="333"/>
      <c r="J474" s="333"/>
      <c r="K474" s="333"/>
      <c r="L474" s="333"/>
      <c r="M474" s="333"/>
    </row>
    <row r="475" spans="2:13">
      <c r="B475" s="531"/>
      <c r="C475" s="333"/>
      <c r="D475" s="333"/>
      <c r="E475" s="333"/>
      <c r="F475" s="333"/>
      <c r="G475" s="333"/>
      <c r="H475" s="333"/>
      <c r="I475" s="333"/>
      <c r="J475" s="333"/>
      <c r="K475" s="333"/>
      <c r="L475" s="333"/>
      <c r="M475" s="333"/>
    </row>
    <row r="476" spans="2:13">
      <c r="B476" s="531"/>
      <c r="C476" s="333"/>
      <c r="D476" s="333"/>
      <c r="E476" s="333"/>
      <c r="F476" s="333"/>
      <c r="G476" s="333"/>
      <c r="H476" s="333"/>
      <c r="I476" s="333"/>
      <c r="J476" s="333"/>
      <c r="K476" s="333"/>
      <c r="L476" s="333"/>
      <c r="M476" s="333"/>
    </row>
    <row r="477" spans="2:13">
      <c r="B477" s="531"/>
      <c r="C477" s="333"/>
      <c r="D477" s="333"/>
      <c r="E477" s="333"/>
      <c r="F477" s="333"/>
      <c r="G477" s="333"/>
      <c r="H477" s="333"/>
      <c r="I477" s="333"/>
      <c r="J477" s="333"/>
      <c r="K477" s="333"/>
      <c r="L477" s="333"/>
      <c r="M477" s="333"/>
    </row>
    <row r="478" spans="2:13">
      <c r="B478" s="531"/>
      <c r="C478" s="333"/>
      <c r="D478" s="333"/>
      <c r="E478" s="333"/>
      <c r="F478" s="333"/>
      <c r="G478" s="333"/>
      <c r="H478" s="333"/>
      <c r="I478" s="333"/>
      <c r="J478" s="333"/>
      <c r="K478" s="333"/>
      <c r="L478" s="333"/>
      <c r="M478" s="333"/>
    </row>
    <row r="479" spans="2:13">
      <c r="B479" s="531"/>
      <c r="C479" s="333"/>
      <c r="D479" s="333"/>
      <c r="E479" s="333"/>
      <c r="F479" s="333"/>
      <c r="G479" s="333"/>
      <c r="H479" s="333"/>
      <c r="I479" s="333"/>
      <c r="J479" s="333"/>
      <c r="K479" s="333"/>
      <c r="L479" s="333"/>
      <c r="M479" s="333"/>
    </row>
    <row r="480" spans="2:13">
      <c r="B480" s="531"/>
      <c r="C480" s="333"/>
      <c r="D480" s="333"/>
      <c r="E480" s="333"/>
      <c r="F480" s="333"/>
      <c r="G480" s="333"/>
      <c r="H480" s="333"/>
      <c r="I480" s="333"/>
      <c r="J480" s="333"/>
      <c r="K480" s="333"/>
      <c r="L480" s="333"/>
      <c r="M480" s="333"/>
    </row>
    <row r="481" spans="2:13">
      <c r="B481" s="531"/>
      <c r="C481" s="333"/>
      <c r="D481" s="333"/>
      <c r="E481" s="333"/>
      <c r="F481" s="333"/>
      <c r="G481" s="333"/>
      <c r="H481" s="333"/>
      <c r="I481" s="333"/>
      <c r="J481" s="333"/>
      <c r="K481" s="333"/>
      <c r="L481" s="333"/>
      <c r="M481" s="333"/>
    </row>
    <row r="482" spans="2:13">
      <c r="B482" s="531"/>
      <c r="C482" s="333"/>
      <c r="D482" s="333"/>
      <c r="E482" s="333"/>
      <c r="F482" s="333"/>
      <c r="G482" s="333"/>
      <c r="H482" s="333"/>
      <c r="I482" s="333"/>
      <c r="J482" s="333"/>
      <c r="K482" s="333"/>
      <c r="L482" s="333"/>
      <c r="M482" s="333"/>
    </row>
    <row r="483" spans="2:13">
      <c r="B483" s="531"/>
      <c r="C483" s="333"/>
      <c r="D483" s="333"/>
      <c r="E483" s="333"/>
      <c r="F483" s="333"/>
      <c r="G483" s="333"/>
      <c r="H483" s="333"/>
      <c r="I483" s="333"/>
      <c r="J483" s="333"/>
      <c r="K483" s="333"/>
      <c r="L483" s="333"/>
      <c r="M483" s="333"/>
    </row>
    <row r="484" spans="2:13">
      <c r="B484" s="531"/>
      <c r="C484" s="333"/>
      <c r="D484" s="333"/>
      <c r="E484" s="333"/>
      <c r="F484" s="333"/>
      <c r="G484" s="333"/>
      <c r="H484" s="333"/>
      <c r="I484" s="333"/>
      <c r="J484" s="333"/>
      <c r="K484" s="333"/>
      <c r="L484" s="333"/>
      <c r="M484" s="333"/>
    </row>
    <row r="485" spans="2:13">
      <c r="B485" s="531"/>
      <c r="C485" s="333"/>
      <c r="D485" s="333"/>
      <c r="E485" s="333"/>
      <c r="F485" s="333"/>
      <c r="G485" s="333"/>
      <c r="H485" s="333"/>
      <c r="I485" s="333"/>
      <c r="J485" s="333"/>
      <c r="K485" s="333"/>
      <c r="L485" s="333"/>
      <c r="M485" s="333"/>
    </row>
    <row r="486" spans="2:13">
      <c r="B486" s="531"/>
      <c r="C486" s="333"/>
      <c r="D486" s="333"/>
      <c r="E486" s="333"/>
      <c r="F486" s="333"/>
      <c r="G486" s="333"/>
      <c r="H486" s="333"/>
      <c r="I486" s="333"/>
      <c r="J486" s="333"/>
      <c r="K486" s="333"/>
      <c r="L486" s="333"/>
      <c r="M486" s="333"/>
    </row>
    <row r="487" spans="2:13">
      <c r="B487" s="531"/>
      <c r="C487" s="333"/>
      <c r="D487" s="333"/>
      <c r="E487" s="333"/>
      <c r="F487" s="333"/>
      <c r="G487" s="333"/>
      <c r="H487" s="333"/>
      <c r="I487" s="333"/>
      <c r="J487" s="333"/>
      <c r="K487" s="333"/>
      <c r="L487" s="333"/>
      <c r="M487" s="333"/>
    </row>
    <row r="488" spans="2:13">
      <c r="B488" s="531"/>
      <c r="C488" s="333"/>
      <c r="D488" s="333"/>
      <c r="E488" s="333"/>
      <c r="F488" s="333"/>
      <c r="G488" s="333"/>
      <c r="H488" s="333"/>
      <c r="I488" s="333"/>
      <c r="J488" s="333"/>
      <c r="K488" s="333"/>
      <c r="L488" s="333"/>
      <c r="M488" s="333"/>
    </row>
    <row r="489" spans="2:13">
      <c r="B489" s="531"/>
      <c r="C489" s="333"/>
      <c r="D489" s="333"/>
      <c r="E489" s="333"/>
      <c r="F489" s="333"/>
      <c r="G489" s="333"/>
      <c r="H489" s="333"/>
      <c r="I489" s="333"/>
      <c r="J489" s="333"/>
      <c r="K489" s="333"/>
      <c r="L489" s="333"/>
      <c r="M489" s="333"/>
    </row>
    <row r="490" spans="2:13">
      <c r="B490" s="531"/>
      <c r="C490" s="333"/>
      <c r="D490" s="333"/>
      <c r="E490" s="333"/>
      <c r="F490" s="333"/>
      <c r="G490" s="333"/>
      <c r="H490" s="333"/>
      <c r="I490" s="333"/>
      <c r="J490" s="333"/>
      <c r="K490" s="333"/>
      <c r="L490" s="333"/>
      <c r="M490" s="333"/>
    </row>
    <row r="491" spans="2:13">
      <c r="B491" s="531"/>
      <c r="C491" s="333"/>
      <c r="D491" s="333"/>
      <c r="E491" s="333"/>
      <c r="F491" s="333"/>
      <c r="G491" s="333"/>
      <c r="H491" s="333"/>
      <c r="I491" s="333"/>
      <c r="J491" s="333"/>
      <c r="K491" s="333"/>
      <c r="L491" s="333"/>
      <c r="M491" s="333"/>
    </row>
    <row r="492" spans="2:13">
      <c r="B492" s="531"/>
      <c r="C492" s="333"/>
      <c r="D492" s="333"/>
      <c r="E492" s="333"/>
      <c r="F492" s="333"/>
      <c r="G492" s="333"/>
      <c r="H492" s="333"/>
      <c r="I492" s="333"/>
      <c r="J492" s="333"/>
      <c r="K492" s="333"/>
      <c r="L492" s="333"/>
      <c r="M492" s="333"/>
    </row>
    <row r="493" spans="2:13">
      <c r="B493" s="531"/>
      <c r="C493" s="333"/>
      <c r="D493" s="333"/>
      <c r="E493" s="333"/>
      <c r="F493" s="333"/>
      <c r="G493" s="333"/>
      <c r="H493" s="333"/>
      <c r="I493" s="333"/>
      <c r="J493" s="333"/>
      <c r="K493" s="333"/>
      <c r="L493" s="333"/>
      <c r="M493" s="333"/>
    </row>
    <row r="494" spans="2:13">
      <c r="B494" s="531"/>
      <c r="C494" s="333"/>
      <c r="D494" s="333"/>
      <c r="E494" s="333"/>
      <c r="F494" s="333"/>
      <c r="G494" s="333"/>
      <c r="H494" s="333"/>
      <c r="I494" s="333"/>
      <c r="J494" s="333"/>
      <c r="K494" s="333"/>
      <c r="L494" s="333"/>
      <c r="M494" s="333"/>
    </row>
    <row r="495" spans="2:13">
      <c r="B495" s="531"/>
      <c r="C495" s="333"/>
      <c r="D495" s="333"/>
      <c r="E495" s="333"/>
      <c r="F495" s="333"/>
      <c r="G495" s="333"/>
      <c r="H495" s="333"/>
      <c r="I495" s="333"/>
      <c r="J495" s="333"/>
      <c r="K495" s="333"/>
      <c r="L495" s="333"/>
      <c r="M495" s="333"/>
    </row>
    <row r="496" spans="2:13">
      <c r="B496" s="531"/>
      <c r="C496" s="333"/>
      <c r="D496" s="333"/>
      <c r="E496" s="333"/>
      <c r="F496" s="333"/>
      <c r="G496" s="333"/>
      <c r="H496" s="333"/>
      <c r="I496" s="333"/>
      <c r="J496" s="333"/>
      <c r="K496" s="333"/>
      <c r="L496" s="333"/>
      <c r="M496" s="333"/>
    </row>
    <row r="497" spans="2:13">
      <c r="B497" s="531"/>
      <c r="C497" s="333"/>
      <c r="D497" s="333"/>
      <c r="E497" s="333"/>
      <c r="F497" s="333"/>
      <c r="G497" s="333"/>
      <c r="H497" s="333"/>
      <c r="I497" s="333"/>
      <c r="J497" s="333"/>
      <c r="K497" s="333"/>
      <c r="L497" s="333"/>
      <c r="M497" s="333"/>
    </row>
    <row r="498" spans="2:13">
      <c r="B498" s="531"/>
      <c r="C498" s="333"/>
      <c r="D498" s="333"/>
      <c r="E498" s="333"/>
      <c r="F498" s="333"/>
      <c r="G498" s="333"/>
      <c r="H498" s="333"/>
      <c r="I498" s="333"/>
      <c r="J498" s="333"/>
      <c r="K498" s="333"/>
      <c r="L498" s="333"/>
      <c r="M498" s="333"/>
    </row>
    <row r="499" spans="2:13">
      <c r="B499" s="531"/>
      <c r="C499" s="333"/>
      <c r="D499" s="333"/>
      <c r="E499" s="333"/>
      <c r="F499" s="333"/>
      <c r="G499" s="333"/>
      <c r="H499" s="333"/>
      <c r="I499" s="333"/>
      <c r="J499" s="333"/>
      <c r="K499" s="333"/>
      <c r="L499" s="333"/>
      <c r="M499" s="333"/>
    </row>
    <row r="500" spans="2:13">
      <c r="B500" s="531"/>
      <c r="C500" s="333"/>
      <c r="D500" s="333"/>
      <c r="E500" s="333"/>
      <c r="F500" s="333"/>
      <c r="G500" s="333"/>
      <c r="H500" s="333"/>
      <c r="I500" s="333"/>
      <c r="J500" s="333"/>
      <c r="K500" s="333"/>
      <c r="L500" s="333"/>
      <c r="M500" s="333"/>
    </row>
    <row r="501" spans="2:13">
      <c r="B501" s="531"/>
      <c r="C501" s="333"/>
      <c r="D501" s="333"/>
      <c r="E501" s="333"/>
      <c r="F501" s="333"/>
      <c r="G501" s="333"/>
      <c r="H501" s="333"/>
      <c r="I501" s="333"/>
      <c r="J501" s="333"/>
      <c r="K501" s="333"/>
      <c r="L501" s="333"/>
      <c r="M501" s="333"/>
    </row>
    <row r="502" spans="2:13">
      <c r="B502" s="531"/>
      <c r="C502" s="333"/>
      <c r="D502" s="333"/>
      <c r="E502" s="333"/>
      <c r="F502" s="333"/>
      <c r="G502" s="333"/>
      <c r="H502" s="333"/>
      <c r="I502" s="333"/>
      <c r="J502" s="333"/>
      <c r="K502" s="333"/>
      <c r="L502" s="333"/>
      <c r="M502" s="333"/>
    </row>
    <row r="503" spans="2:13">
      <c r="B503" s="531"/>
      <c r="C503" s="333"/>
      <c r="D503" s="333"/>
      <c r="E503" s="333"/>
      <c r="F503" s="333"/>
      <c r="G503" s="333"/>
      <c r="H503" s="333"/>
      <c r="I503" s="333"/>
      <c r="J503" s="333"/>
      <c r="K503" s="333"/>
      <c r="L503" s="333"/>
      <c r="M503" s="333"/>
    </row>
    <row r="504" spans="2:13">
      <c r="B504" s="531"/>
      <c r="C504" s="333"/>
      <c r="D504" s="333"/>
      <c r="E504" s="333"/>
      <c r="F504" s="333"/>
      <c r="G504" s="333"/>
      <c r="H504" s="333"/>
      <c r="I504" s="333"/>
      <c r="J504" s="333"/>
      <c r="K504" s="333"/>
      <c r="L504" s="333"/>
      <c r="M504" s="333"/>
    </row>
    <row r="505" spans="2:13">
      <c r="B505" s="531"/>
      <c r="C505" s="333"/>
      <c r="D505" s="333"/>
      <c r="E505" s="333"/>
      <c r="F505" s="333"/>
      <c r="G505" s="333"/>
      <c r="H505" s="333"/>
      <c r="I505" s="333"/>
      <c r="J505" s="333"/>
      <c r="K505" s="333"/>
      <c r="L505" s="333"/>
      <c r="M505" s="333"/>
    </row>
    <row r="506" spans="2:13">
      <c r="B506" s="531"/>
      <c r="C506" s="333"/>
      <c r="D506" s="333"/>
      <c r="E506" s="333"/>
      <c r="F506" s="333"/>
      <c r="G506" s="333"/>
      <c r="H506" s="333"/>
      <c r="I506" s="333"/>
      <c r="J506" s="333"/>
      <c r="K506" s="333"/>
      <c r="L506" s="333"/>
      <c r="M506" s="333"/>
    </row>
    <row r="507" spans="2:13">
      <c r="B507" s="531"/>
      <c r="C507" s="333"/>
      <c r="D507" s="333"/>
      <c r="E507" s="333"/>
      <c r="F507" s="333"/>
      <c r="G507" s="333"/>
      <c r="H507" s="333"/>
      <c r="I507" s="333"/>
      <c r="J507" s="333"/>
      <c r="K507" s="333"/>
      <c r="L507" s="333"/>
      <c r="M507" s="333"/>
    </row>
    <row r="508" spans="2:13">
      <c r="B508" s="531"/>
      <c r="C508" s="333"/>
      <c r="D508" s="333"/>
      <c r="E508" s="333"/>
      <c r="F508" s="333"/>
      <c r="G508" s="333"/>
      <c r="H508" s="333"/>
      <c r="I508" s="333"/>
      <c r="J508" s="333"/>
      <c r="K508" s="333"/>
      <c r="L508" s="333"/>
      <c r="M508" s="333"/>
    </row>
    <row r="509" spans="2:13">
      <c r="B509" s="531"/>
      <c r="C509" s="333"/>
      <c r="D509" s="333"/>
      <c r="E509" s="333"/>
      <c r="F509" s="333"/>
      <c r="G509" s="333"/>
      <c r="H509" s="333"/>
      <c r="I509" s="333"/>
      <c r="J509" s="333"/>
      <c r="K509" s="333"/>
      <c r="L509" s="333"/>
      <c r="M509" s="333"/>
    </row>
    <row r="510" spans="2:13">
      <c r="B510" s="531"/>
      <c r="C510" s="333"/>
      <c r="D510" s="333"/>
      <c r="E510" s="333"/>
      <c r="F510" s="333"/>
      <c r="G510" s="333"/>
      <c r="H510" s="333"/>
      <c r="I510" s="333"/>
      <c r="J510" s="333"/>
      <c r="K510" s="333"/>
      <c r="L510" s="333"/>
      <c r="M510" s="333"/>
    </row>
    <row r="511" spans="2:13">
      <c r="B511" s="531"/>
      <c r="C511" s="333"/>
      <c r="D511" s="333"/>
      <c r="E511" s="333"/>
      <c r="F511" s="333"/>
      <c r="G511" s="333"/>
      <c r="H511" s="333"/>
      <c r="I511" s="333"/>
      <c r="J511" s="333"/>
      <c r="K511" s="333"/>
      <c r="L511" s="333"/>
      <c r="M511" s="333"/>
    </row>
    <row r="512" spans="2:13">
      <c r="B512" s="531"/>
      <c r="C512" s="333"/>
      <c r="D512" s="333"/>
      <c r="E512" s="333"/>
      <c r="F512" s="333"/>
      <c r="G512" s="333"/>
      <c r="H512" s="333"/>
      <c r="I512" s="333"/>
      <c r="J512" s="333"/>
      <c r="K512" s="333"/>
      <c r="L512" s="333"/>
      <c r="M512" s="333"/>
    </row>
    <row r="513" spans="2:13">
      <c r="B513" s="531"/>
      <c r="C513" s="333"/>
      <c r="D513" s="333"/>
      <c r="E513" s="333"/>
      <c r="F513" s="333"/>
      <c r="G513" s="333"/>
      <c r="H513" s="333"/>
      <c r="I513" s="333"/>
      <c r="J513" s="333"/>
      <c r="K513" s="333"/>
      <c r="L513" s="333"/>
      <c r="M513" s="333"/>
    </row>
    <row r="514" spans="2:13">
      <c r="B514" s="531"/>
      <c r="C514" s="333"/>
      <c r="D514" s="333"/>
      <c r="E514" s="333"/>
      <c r="F514" s="333"/>
      <c r="G514" s="333"/>
      <c r="H514" s="333"/>
      <c r="I514" s="333"/>
      <c r="J514" s="333"/>
      <c r="K514" s="333"/>
      <c r="L514" s="333"/>
      <c r="M514" s="333"/>
    </row>
    <row r="515" spans="2:13">
      <c r="B515" s="531"/>
      <c r="C515" s="333"/>
      <c r="D515" s="333"/>
      <c r="E515" s="333"/>
      <c r="F515" s="333"/>
      <c r="G515" s="333"/>
      <c r="H515" s="333"/>
      <c r="I515" s="333"/>
      <c r="J515" s="333"/>
      <c r="K515" s="333"/>
      <c r="L515" s="333"/>
      <c r="M515" s="333"/>
    </row>
    <row r="516" spans="2:13">
      <c r="B516" s="531"/>
      <c r="C516" s="333"/>
      <c r="D516" s="333"/>
      <c r="E516" s="333"/>
      <c r="F516" s="333"/>
      <c r="G516" s="333"/>
      <c r="H516" s="333"/>
      <c r="I516" s="333"/>
      <c r="J516" s="333"/>
      <c r="K516" s="333"/>
      <c r="L516" s="333"/>
      <c r="M516" s="333"/>
    </row>
    <row r="517" spans="2:13">
      <c r="B517" s="531"/>
      <c r="C517" s="333"/>
      <c r="D517" s="333"/>
      <c r="E517" s="333"/>
      <c r="F517" s="333"/>
      <c r="G517" s="333"/>
      <c r="H517" s="333"/>
      <c r="I517" s="333"/>
      <c r="J517" s="333"/>
      <c r="K517" s="333"/>
      <c r="L517" s="333"/>
      <c r="M517" s="333"/>
    </row>
    <row r="518" spans="2:13">
      <c r="B518" s="531"/>
      <c r="C518" s="333"/>
      <c r="D518" s="333"/>
      <c r="E518" s="333"/>
      <c r="F518" s="333"/>
      <c r="G518" s="333"/>
      <c r="H518" s="333"/>
      <c r="I518" s="333"/>
      <c r="J518" s="333"/>
      <c r="K518" s="333"/>
      <c r="L518" s="333"/>
      <c r="M518" s="333"/>
    </row>
    <row r="519" spans="2:13">
      <c r="B519" s="531"/>
      <c r="C519" s="333"/>
      <c r="D519" s="333"/>
      <c r="E519" s="333"/>
      <c r="F519" s="333"/>
      <c r="G519" s="333"/>
      <c r="H519" s="333"/>
      <c r="I519" s="333"/>
      <c r="J519" s="333"/>
      <c r="K519" s="333"/>
      <c r="L519" s="333"/>
      <c r="M519" s="333"/>
    </row>
    <row r="520" spans="2:13">
      <c r="B520" s="531"/>
      <c r="C520" s="333"/>
      <c r="D520" s="333"/>
      <c r="E520" s="333"/>
      <c r="F520" s="333"/>
      <c r="G520" s="333"/>
      <c r="H520" s="333"/>
      <c r="I520" s="333"/>
      <c r="J520" s="333"/>
      <c r="K520" s="333"/>
      <c r="L520" s="333"/>
      <c r="M520" s="333"/>
    </row>
    <row r="521" spans="2:13">
      <c r="B521" s="531"/>
      <c r="C521" s="333"/>
      <c r="D521" s="333"/>
      <c r="E521" s="333"/>
      <c r="F521" s="333"/>
      <c r="G521" s="333"/>
      <c r="H521" s="333"/>
      <c r="I521" s="333"/>
      <c r="J521" s="333"/>
      <c r="K521" s="333"/>
      <c r="L521" s="333"/>
      <c r="M521" s="333"/>
    </row>
    <row r="522" spans="2:13">
      <c r="B522" s="531"/>
      <c r="C522" s="333"/>
      <c r="D522" s="333"/>
      <c r="E522" s="333"/>
      <c r="F522" s="333"/>
      <c r="G522" s="333"/>
      <c r="H522" s="333"/>
      <c r="I522" s="333"/>
      <c r="J522" s="333"/>
      <c r="K522" s="333"/>
      <c r="L522" s="333"/>
      <c r="M522" s="333"/>
    </row>
    <row r="523" spans="2:13">
      <c r="B523" s="531"/>
      <c r="C523" s="333"/>
      <c r="D523" s="333"/>
      <c r="E523" s="333"/>
      <c r="F523" s="333"/>
      <c r="G523" s="333"/>
      <c r="H523" s="333"/>
      <c r="I523" s="333"/>
      <c r="J523" s="333"/>
      <c r="K523" s="333"/>
      <c r="L523" s="333"/>
      <c r="M523" s="333"/>
    </row>
    <row r="524" spans="2:13">
      <c r="B524" s="531"/>
      <c r="C524" s="333"/>
      <c r="D524" s="333"/>
      <c r="E524" s="333"/>
      <c r="F524" s="333"/>
      <c r="G524" s="333"/>
      <c r="H524" s="333"/>
      <c r="I524" s="333"/>
      <c r="J524" s="333"/>
      <c r="K524" s="333"/>
      <c r="L524" s="333"/>
      <c r="M524" s="333"/>
    </row>
    <row r="525" spans="2:13">
      <c r="B525" s="531"/>
      <c r="C525" s="333"/>
      <c r="D525" s="333"/>
      <c r="E525" s="333"/>
      <c r="F525" s="333"/>
      <c r="G525" s="333"/>
      <c r="H525" s="333"/>
      <c r="I525" s="333"/>
      <c r="J525" s="333"/>
      <c r="K525" s="333"/>
      <c r="L525" s="333"/>
      <c r="M525" s="333"/>
    </row>
    <row r="526" spans="2:13">
      <c r="B526" s="531"/>
      <c r="C526" s="333"/>
      <c r="D526" s="333"/>
      <c r="E526" s="333"/>
      <c r="F526" s="333"/>
      <c r="G526" s="333"/>
      <c r="H526" s="333"/>
      <c r="I526" s="333"/>
      <c r="J526" s="333"/>
      <c r="K526" s="333"/>
      <c r="L526" s="333"/>
      <c r="M526" s="333"/>
    </row>
    <row r="527" spans="2:13">
      <c r="B527" s="531"/>
      <c r="C527" s="333"/>
      <c r="D527" s="333"/>
      <c r="E527" s="333"/>
      <c r="F527" s="333"/>
      <c r="G527" s="333"/>
      <c r="H527" s="333"/>
      <c r="I527" s="333"/>
      <c r="J527" s="333"/>
      <c r="K527" s="333"/>
      <c r="L527" s="333"/>
      <c r="M527" s="333"/>
    </row>
    <row r="528" spans="2:13">
      <c r="B528" s="531"/>
      <c r="C528" s="333"/>
      <c r="D528" s="333"/>
      <c r="E528" s="333"/>
      <c r="F528" s="333"/>
      <c r="G528" s="333"/>
      <c r="H528" s="333"/>
      <c r="I528" s="333"/>
      <c r="J528" s="333"/>
      <c r="K528" s="333"/>
      <c r="L528" s="333"/>
      <c r="M528" s="333"/>
    </row>
    <row r="529" spans="2:13">
      <c r="B529" s="531"/>
      <c r="C529" s="333"/>
      <c r="D529" s="333"/>
      <c r="E529" s="333"/>
      <c r="F529" s="333"/>
      <c r="G529" s="333"/>
      <c r="H529" s="333"/>
      <c r="I529" s="333"/>
      <c r="J529" s="333"/>
      <c r="K529" s="333"/>
      <c r="L529" s="333"/>
      <c r="M529" s="333"/>
    </row>
    <row r="530" spans="2:13">
      <c r="B530" s="531"/>
      <c r="C530" s="333"/>
      <c r="D530" s="333"/>
      <c r="E530" s="333"/>
      <c r="F530" s="333"/>
      <c r="G530" s="333"/>
      <c r="H530" s="333"/>
      <c r="I530" s="333"/>
      <c r="J530" s="333"/>
      <c r="K530" s="333"/>
      <c r="L530" s="333"/>
      <c r="M530" s="333"/>
    </row>
    <row r="531" spans="2:13">
      <c r="B531" s="531"/>
      <c r="C531" s="333"/>
      <c r="D531" s="333"/>
      <c r="E531" s="333"/>
      <c r="F531" s="333"/>
      <c r="G531" s="333"/>
      <c r="H531" s="333"/>
      <c r="I531" s="333"/>
      <c r="J531" s="333"/>
      <c r="K531" s="333"/>
      <c r="L531" s="333"/>
      <c r="M531" s="333"/>
    </row>
    <row r="532" spans="2:13">
      <c r="B532" s="531"/>
      <c r="C532" s="333"/>
      <c r="D532" s="333"/>
      <c r="E532" s="333"/>
      <c r="F532" s="333"/>
      <c r="G532" s="333"/>
      <c r="H532" s="333"/>
      <c r="I532" s="333"/>
      <c r="J532" s="333"/>
      <c r="K532" s="333"/>
      <c r="L532" s="333"/>
      <c r="M532" s="333"/>
    </row>
    <row r="533" spans="2:13">
      <c r="B533" s="531"/>
      <c r="C533" s="333"/>
      <c r="D533" s="333"/>
      <c r="E533" s="333"/>
      <c r="F533" s="333"/>
      <c r="G533" s="333"/>
      <c r="H533" s="333"/>
      <c r="I533" s="333"/>
      <c r="J533" s="333"/>
      <c r="K533" s="333"/>
      <c r="L533" s="333"/>
      <c r="M533" s="333"/>
    </row>
    <row r="534" spans="2:13">
      <c r="B534" s="531"/>
      <c r="C534" s="333"/>
      <c r="D534" s="333"/>
      <c r="E534" s="333"/>
      <c r="F534" s="333"/>
      <c r="G534" s="333"/>
      <c r="H534" s="333"/>
      <c r="I534" s="333"/>
      <c r="J534" s="333"/>
      <c r="K534" s="333"/>
      <c r="L534" s="333"/>
      <c r="M534" s="333"/>
    </row>
    <row r="535" spans="2:13">
      <c r="B535" s="531"/>
      <c r="C535" s="333"/>
      <c r="D535" s="333"/>
      <c r="E535" s="333"/>
      <c r="F535" s="333"/>
      <c r="G535" s="333"/>
      <c r="H535" s="333"/>
      <c r="I535" s="333"/>
      <c r="J535" s="333"/>
      <c r="K535" s="333"/>
      <c r="L535" s="333"/>
      <c r="M535" s="333"/>
    </row>
    <row r="536" spans="2:13">
      <c r="B536" s="531"/>
      <c r="C536" s="333"/>
      <c r="D536" s="333"/>
      <c r="E536" s="333"/>
      <c r="F536" s="333"/>
      <c r="G536" s="333"/>
      <c r="H536" s="333"/>
      <c r="I536" s="333"/>
      <c r="J536" s="333"/>
      <c r="K536" s="333"/>
      <c r="L536" s="333"/>
      <c r="M536" s="333"/>
    </row>
    <row r="537" spans="2:13">
      <c r="B537" s="531"/>
      <c r="C537" s="333"/>
      <c r="D537" s="333"/>
      <c r="E537" s="333"/>
      <c r="F537" s="333"/>
      <c r="G537" s="333"/>
      <c r="H537" s="333"/>
      <c r="I537" s="333"/>
      <c r="J537" s="333"/>
      <c r="K537" s="333"/>
      <c r="L537" s="333"/>
      <c r="M537" s="333"/>
    </row>
    <row r="538" spans="2:13">
      <c r="B538" s="531"/>
      <c r="C538" s="333"/>
      <c r="D538" s="333"/>
      <c r="E538" s="333"/>
      <c r="F538" s="333"/>
      <c r="G538" s="333"/>
      <c r="H538" s="333"/>
      <c r="I538" s="333"/>
      <c r="J538" s="333"/>
      <c r="K538" s="333"/>
      <c r="L538" s="333"/>
      <c r="M538" s="333"/>
    </row>
    <row r="539" spans="2:13">
      <c r="B539" s="531"/>
      <c r="C539" s="333"/>
      <c r="D539" s="333"/>
      <c r="E539" s="333"/>
      <c r="F539" s="333"/>
      <c r="G539" s="333"/>
      <c r="H539" s="333"/>
      <c r="I539" s="333"/>
      <c r="J539" s="333"/>
      <c r="K539" s="333"/>
      <c r="L539" s="333"/>
      <c r="M539" s="333"/>
    </row>
    <row r="540" spans="2:13">
      <c r="B540" s="531"/>
      <c r="C540" s="333"/>
      <c r="D540" s="333"/>
      <c r="E540" s="333"/>
      <c r="F540" s="333"/>
      <c r="G540" s="333"/>
      <c r="H540" s="333"/>
      <c r="I540" s="333"/>
      <c r="J540" s="333"/>
      <c r="K540" s="333"/>
      <c r="L540" s="333"/>
      <c r="M540" s="333"/>
    </row>
    <row r="541" spans="2:13">
      <c r="B541" s="531"/>
      <c r="C541" s="333"/>
      <c r="D541" s="333"/>
      <c r="E541" s="333"/>
      <c r="F541" s="333"/>
      <c r="G541" s="333"/>
      <c r="H541" s="333"/>
      <c r="I541" s="333"/>
      <c r="J541" s="333"/>
      <c r="K541" s="333"/>
      <c r="L541" s="333"/>
      <c r="M541" s="333"/>
    </row>
    <row r="542" spans="2:13">
      <c r="B542" s="531"/>
      <c r="C542" s="333"/>
      <c r="D542" s="333"/>
      <c r="E542" s="333"/>
      <c r="F542" s="333"/>
      <c r="G542" s="333"/>
      <c r="H542" s="333"/>
      <c r="I542" s="333"/>
      <c r="J542" s="333"/>
      <c r="K542" s="333"/>
      <c r="L542" s="333"/>
      <c r="M542" s="333"/>
    </row>
    <row r="543" spans="2:13">
      <c r="B543" s="531"/>
      <c r="C543" s="333"/>
      <c r="D543" s="333"/>
      <c r="E543" s="333"/>
      <c r="F543" s="333"/>
      <c r="G543" s="333"/>
      <c r="H543" s="333"/>
      <c r="I543" s="333"/>
      <c r="J543" s="333"/>
      <c r="K543" s="333"/>
      <c r="L543" s="333"/>
      <c r="M543" s="333"/>
    </row>
    <row r="544" spans="2:13">
      <c r="B544" s="531"/>
      <c r="C544" s="333"/>
      <c r="D544" s="333"/>
      <c r="E544" s="333"/>
      <c r="F544" s="333"/>
      <c r="G544" s="333"/>
      <c r="H544" s="333"/>
      <c r="I544" s="333"/>
      <c r="J544" s="333"/>
      <c r="K544" s="333"/>
      <c r="L544" s="333"/>
      <c r="M544" s="333"/>
    </row>
    <row r="545" spans="2:13">
      <c r="B545" s="531"/>
      <c r="C545" s="333"/>
      <c r="D545" s="333"/>
      <c r="E545" s="333"/>
      <c r="F545" s="333"/>
      <c r="G545" s="333"/>
      <c r="H545" s="333"/>
      <c r="I545" s="333"/>
      <c r="J545" s="333"/>
      <c r="K545" s="333"/>
      <c r="L545" s="333"/>
      <c r="M545" s="333"/>
    </row>
    <row r="546" spans="2:13">
      <c r="B546" s="531"/>
      <c r="C546" s="333"/>
      <c r="D546" s="333"/>
      <c r="E546" s="333"/>
      <c r="F546" s="333"/>
      <c r="G546" s="333"/>
      <c r="H546" s="333"/>
      <c r="I546" s="333"/>
      <c r="J546" s="333"/>
      <c r="K546" s="333"/>
      <c r="L546" s="333"/>
      <c r="M546" s="333"/>
    </row>
    <row r="547" spans="2:13">
      <c r="B547" s="531"/>
      <c r="C547" s="333"/>
      <c r="D547" s="333"/>
      <c r="E547" s="333"/>
      <c r="F547" s="333"/>
      <c r="G547" s="333"/>
      <c r="H547" s="333"/>
      <c r="I547" s="333"/>
      <c r="J547" s="333"/>
      <c r="K547" s="333"/>
      <c r="L547" s="333"/>
      <c r="M547" s="333"/>
    </row>
    <row r="548" spans="2:13">
      <c r="B548" s="531"/>
      <c r="C548" s="333"/>
      <c r="D548" s="333"/>
      <c r="E548" s="333"/>
      <c r="F548" s="333"/>
      <c r="G548" s="333"/>
      <c r="H548" s="333"/>
      <c r="I548" s="333"/>
      <c r="J548" s="333"/>
      <c r="K548" s="333"/>
      <c r="L548" s="333"/>
      <c r="M548" s="333"/>
    </row>
    <row r="549" spans="2:13">
      <c r="B549" s="531"/>
      <c r="C549" s="333"/>
      <c r="D549" s="333"/>
      <c r="E549" s="333"/>
      <c r="F549" s="333"/>
      <c r="G549" s="333"/>
      <c r="H549" s="333"/>
      <c r="I549" s="333"/>
      <c r="J549" s="333"/>
      <c r="K549" s="333"/>
      <c r="L549" s="333"/>
      <c r="M549" s="333"/>
    </row>
    <row r="550" spans="2:13">
      <c r="B550" s="531"/>
      <c r="C550" s="333"/>
      <c r="D550" s="333"/>
      <c r="E550" s="333"/>
      <c r="F550" s="333"/>
      <c r="G550" s="333"/>
      <c r="H550" s="333"/>
      <c r="I550" s="333"/>
      <c r="J550" s="333"/>
      <c r="K550" s="333"/>
      <c r="L550" s="333"/>
      <c r="M550" s="333"/>
    </row>
    <row r="551" spans="2:13">
      <c r="B551" s="531"/>
      <c r="C551" s="333"/>
      <c r="D551" s="333"/>
      <c r="E551" s="333"/>
      <c r="F551" s="333"/>
      <c r="G551" s="333"/>
      <c r="H551" s="333"/>
      <c r="I551" s="333"/>
      <c r="J551" s="333"/>
      <c r="K551" s="333"/>
      <c r="L551" s="333"/>
      <c r="M551" s="333"/>
    </row>
    <row r="552" spans="2:13">
      <c r="B552" s="531"/>
      <c r="C552" s="333"/>
      <c r="D552" s="333"/>
      <c r="E552" s="333"/>
      <c r="F552" s="333"/>
      <c r="G552" s="333"/>
      <c r="H552" s="333"/>
      <c r="I552" s="333"/>
      <c r="J552" s="333"/>
      <c r="K552" s="333"/>
      <c r="L552" s="333"/>
      <c r="M552" s="333"/>
    </row>
    <row r="553" spans="2:13">
      <c r="B553" s="531"/>
      <c r="C553" s="333"/>
      <c r="D553" s="333"/>
      <c r="E553" s="333"/>
      <c r="F553" s="333"/>
      <c r="G553" s="333"/>
      <c r="H553" s="333"/>
      <c r="I553" s="333"/>
      <c r="J553" s="333"/>
      <c r="K553" s="333"/>
      <c r="L553" s="333"/>
      <c r="M553" s="333"/>
    </row>
    <row r="554" spans="2:13">
      <c r="B554" s="531"/>
      <c r="C554" s="333"/>
      <c r="D554" s="333"/>
      <c r="E554" s="333"/>
      <c r="F554" s="333"/>
      <c r="G554" s="333"/>
      <c r="H554" s="333"/>
      <c r="I554" s="333"/>
      <c r="J554" s="333"/>
      <c r="K554" s="333"/>
      <c r="L554" s="333"/>
      <c r="M554" s="333"/>
    </row>
    <row r="555" spans="2:13">
      <c r="B555" s="531"/>
      <c r="C555" s="333"/>
      <c r="D555" s="333"/>
      <c r="E555" s="333"/>
      <c r="F555" s="333"/>
      <c r="G555" s="333"/>
      <c r="H555" s="333"/>
      <c r="I555" s="333"/>
      <c r="J555" s="333"/>
      <c r="K555" s="333"/>
      <c r="L555" s="333"/>
      <c r="M555" s="333"/>
    </row>
    <row r="556" spans="2:13">
      <c r="B556" s="531"/>
      <c r="C556" s="333"/>
      <c r="D556" s="333"/>
      <c r="E556" s="333"/>
      <c r="F556" s="333"/>
      <c r="G556" s="333"/>
      <c r="H556" s="333"/>
      <c r="I556" s="333"/>
      <c r="J556" s="333"/>
      <c r="K556" s="333"/>
      <c r="L556" s="333"/>
      <c r="M556" s="333"/>
    </row>
    <row r="557" spans="2:13">
      <c r="B557" s="531"/>
      <c r="C557" s="333"/>
      <c r="D557" s="333"/>
      <c r="E557" s="333"/>
      <c r="F557" s="333"/>
      <c r="G557" s="333"/>
      <c r="H557" s="333"/>
      <c r="I557" s="333"/>
      <c r="J557" s="333"/>
      <c r="K557" s="333"/>
      <c r="L557" s="333"/>
      <c r="M557" s="333"/>
    </row>
    <row r="558" spans="2:13">
      <c r="B558" s="531"/>
      <c r="C558" s="333"/>
      <c r="D558" s="333"/>
      <c r="E558" s="333"/>
      <c r="F558" s="333"/>
      <c r="G558" s="333"/>
      <c r="H558" s="333"/>
      <c r="I558" s="333"/>
      <c r="J558" s="333"/>
      <c r="K558" s="333"/>
      <c r="L558" s="333"/>
      <c r="M558" s="333"/>
    </row>
    <row r="559" spans="2:13">
      <c r="B559" s="531"/>
      <c r="C559" s="333"/>
      <c r="D559" s="333"/>
      <c r="E559" s="333"/>
      <c r="F559" s="333"/>
      <c r="G559" s="333"/>
      <c r="H559" s="333"/>
      <c r="I559" s="333"/>
      <c r="J559" s="333"/>
      <c r="K559" s="333"/>
      <c r="L559" s="333"/>
      <c r="M559" s="333"/>
    </row>
    <row r="560" spans="2:13">
      <c r="B560" s="531"/>
      <c r="C560" s="333"/>
      <c r="D560" s="333"/>
      <c r="E560" s="333"/>
      <c r="F560" s="333"/>
      <c r="G560" s="333"/>
      <c r="H560" s="333"/>
      <c r="I560" s="333"/>
      <c r="J560" s="333"/>
      <c r="K560" s="333"/>
      <c r="L560" s="333"/>
      <c r="M560" s="333"/>
    </row>
    <row r="561" spans="2:13">
      <c r="B561" s="531"/>
      <c r="C561" s="333"/>
      <c r="D561" s="333"/>
      <c r="E561" s="333"/>
      <c r="F561" s="333"/>
      <c r="G561" s="333"/>
      <c r="H561" s="333"/>
      <c r="I561" s="333"/>
      <c r="J561" s="333"/>
      <c r="K561" s="333"/>
      <c r="L561" s="333"/>
      <c r="M561" s="333"/>
    </row>
    <row r="562" spans="2:13">
      <c r="B562" s="531"/>
      <c r="C562" s="333"/>
      <c r="D562" s="333"/>
      <c r="E562" s="333"/>
      <c r="F562" s="333"/>
      <c r="G562" s="333"/>
      <c r="H562" s="333"/>
      <c r="I562" s="333"/>
      <c r="J562" s="333"/>
      <c r="K562" s="333"/>
      <c r="L562" s="333"/>
      <c r="M562" s="333"/>
    </row>
    <row r="563" spans="2:13">
      <c r="B563" s="531"/>
      <c r="C563" s="333"/>
      <c r="D563" s="333"/>
      <c r="E563" s="333"/>
      <c r="F563" s="333"/>
      <c r="G563" s="333"/>
      <c r="H563" s="333"/>
      <c r="I563" s="333"/>
      <c r="J563" s="333"/>
      <c r="K563" s="333"/>
      <c r="L563" s="333"/>
      <c r="M563" s="333"/>
    </row>
    <row r="564" spans="2:13">
      <c r="B564" s="531"/>
      <c r="C564" s="333"/>
      <c r="D564" s="333"/>
      <c r="E564" s="333"/>
      <c r="F564" s="333"/>
      <c r="G564" s="333"/>
      <c r="H564" s="333"/>
      <c r="I564" s="333"/>
      <c r="J564" s="333"/>
      <c r="K564" s="333"/>
      <c r="L564" s="333"/>
      <c r="M564" s="333"/>
    </row>
    <row r="565" spans="2:13">
      <c r="B565" s="531"/>
      <c r="C565" s="333"/>
      <c r="D565" s="333"/>
      <c r="E565" s="333"/>
      <c r="F565" s="333"/>
      <c r="G565" s="333"/>
      <c r="H565" s="333"/>
      <c r="I565" s="333"/>
      <c r="J565" s="333"/>
      <c r="K565" s="333"/>
      <c r="L565" s="333"/>
      <c r="M565" s="333"/>
    </row>
    <row r="566" spans="2:13">
      <c r="B566" s="531"/>
      <c r="C566" s="333"/>
      <c r="D566" s="333"/>
      <c r="E566" s="333"/>
      <c r="F566" s="333"/>
      <c r="G566" s="333"/>
      <c r="H566" s="333"/>
      <c r="I566" s="333"/>
      <c r="J566" s="333"/>
      <c r="K566" s="333"/>
      <c r="L566" s="333"/>
      <c r="M566" s="333"/>
    </row>
    <row r="567" spans="2:13">
      <c r="B567" s="531"/>
      <c r="C567" s="333"/>
      <c r="D567" s="333"/>
      <c r="E567" s="333"/>
      <c r="F567" s="333"/>
      <c r="G567" s="333"/>
      <c r="H567" s="333"/>
      <c r="I567" s="333"/>
      <c r="J567" s="333"/>
      <c r="K567" s="333"/>
      <c r="L567" s="333"/>
      <c r="M567" s="333"/>
    </row>
    <row r="568" spans="2:13">
      <c r="B568" s="531"/>
      <c r="C568" s="333"/>
      <c r="D568" s="333"/>
      <c r="E568" s="333"/>
      <c r="F568" s="333"/>
      <c r="G568" s="333"/>
      <c r="H568" s="333"/>
      <c r="I568" s="333"/>
      <c r="J568" s="333"/>
      <c r="K568" s="333"/>
      <c r="L568" s="333"/>
      <c r="M568" s="333"/>
    </row>
    <row r="569" spans="2:13">
      <c r="B569" s="531"/>
      <c r="C569" s="333"/>
      <c r="D569" s="333"/>
      <c r="E569" s="333"/>
      <c r="F569" s="333"/>
      <c r="G569" s="333"/>
      <c r="H569" s="333"/>
      <c r="I569" s="333"/>
      <c r="J569" s="333"/>
      <c r="K569" s="333"/>
      <c r="L569" s="333"/>
      <c r="M569" s="333"/>
    </row>
    <row r="570" spans="2:13">
      <c r="B570" s="531"/>
      <c r="C570" s="333"/>
      <c r="D570" s="333"/>
      <c r="E570" s="333"/>
      <c r="F570" s="333"/>
      <c r="G570" s="333"/>
      <c r="H570" s="333"/>
      <c r="I570" s="333"/>
      <c r="J570" s="333"/>
      <c r="K570" s="333"/>
      <c r="L570" s="333"/>
      <c r="M570" s="333"/>
    </row>
    <row r="571" spans="2:13">
      <c r="B571" s="531"/>
      <c r="C571" s="333"/>
      <c r="D571" s="333"/>
      <c r="E571" s="333"/>
      <c r="F571" s="333"/>
      <c r="G571" s="333"/>
      <c r="H571" s="333"/>
      <c r="I571" s="333"/>
      <c r="J571" s="333"/>
      <c r="K571" s="333"/>
      <c r="L571" s="333"/>
      <c r="M571" s="333"/>
    </row>
    <row r="572" spans="2:13">
      <c r="B572" s="531"/>
      <c r="C572" s="333"/>
      <c r="D572" s="333"/>
      <c r="E572" s="333"/>
      <c r="F572" s="333"/>
      <c r="G572" s="333"/>
      <c r="H572" s="333"/>
      <c r="I572" s="333"/>
      <c r="J572" s="333"/>
      <c r="K572" s="333"/>
      <c r="L572" s="333"/>
      <c r="M572" s="333"/>
    </row>
    <row r="573" spans="2:13">
      <c r="B573" s="531"/>
      <c r="C573" s="333"/>
      <c r="D573" s="333"/>
      <c r="E573" s="333"/>
      <c r="F573" s="333"/>
      <c r="G573" s="333"/>
      <c r="H573" s="333"/>
      <c r="I573" s="333"/>
      <c r="J573" s="333"/>
      <c r="K573" s="333"/>
      <c r="L573" s="333"/>
      <c r="M573" s="333"/>
    </row>
    <row r="574" spans="2:13">
      <c r="B574" s="531"/>
      <c r="C574" s="333"/>
      <c r="D574" s="333"/>
      <c r="E574" s="333"/>
      <c r="F574" s="333"/>
      <c r="G574" s="333"/>
      <c r="H574" s="333"/>
      <c r="I574" s="333"/>
      <c r="J574" s="333"/>
      <c r="K574" s="333"/>
      <c r="L574" s="333"/>
      <c r="M574" s="333"/>
    </row>
    <row r="575" spans="2:13">
      <c r="B575" s="531"/>
      <c r="C575" s="333"/>
      <c r="D575" s="333"/>
      <c r="E575" s="333"/>
      <c r="F575" s="333"/>
      <c r="G575" s="333"/>
      <c r="H575" s="333"/>
      <c r="I575" s="333"/>
      <c r="J575" s="333"/>
      <c r="K575" s="333"/>
      <c r="L575" s="333"/>
      <c r="M575" s="333"/>
    </row>
    <row r="576" spans="2:13">
      <c r="B576" s="531"/>
      <c r="C576" s="333"/>
      <c r="D576" s="333"/>
      <c r="E576" s="333"/>
      <c r="F576" s="333"/>
      <c r="G576" s="333"/>
      <c r="H576" s="333"/>
      <c r="I576" s="333"/>
      <c r="J576" s="333"/>
      <c r="K576" s="333"/>
      <c r="L576" s="333"/>
      <c r="M576" s="333"/>
    </row>
    <row r="577" spans="2:13">
      <c r="B577" s="531"/>
      <c r="C577" s="333"/>
      <c r="D577" s="333"/>
      <c r="E577" s="333"/>
      <c r="F577" s="333"/>
      <c r="G577" s="333"/>
      <c r="H577" s="333"/>
      <c r="I577" s="333"/>
      <c r="J577" s="333"/>
      <c r="K577" s="333"/>
      <c r="L577" s="333"/>
      <c r="M577" s="333"/>
    </row>
    <row r="578" spans="2:13">
      <c r="B578" s="531"/>
      <c r="C578" s="333"/>
      <c r="D578" s="333"/>
      <c r="E578" s="333"/>
      <c r="F578" s="333"/>
      <c r="G578" s="333"/>
      <c r="H578" s="333"/>
      <c r="I578" s="333"/>
      <c r="J578" s="333"/>
      <c r="K578" s="333"/>
      <c r="L578" s="333"/>
      <c r="M578" s="333"/>
    </row>
    <row r="579" spans="2:13">
      <c r="B579" s="531"/>
      <c r="C579" s="333"/>
      <c r="D579" s="333"/>
      <c r="E579" s="333"/>
      <c r="F579" s="333"/>
      <c r="G579" s="333"/>
      <c r="H579" s="333"/>
      <c r="I579" s="333"/>
      <c r="J579" s="333"/>
      <c r="K579" s="333"/>
      <c r="L579" s="333"/>
      <c r="M579" s="333"/>
    </row>
    <row r="580" spans="2:13">
      <c r="B580" s="531"/>
      <c r="C580" s="333"/>
      <c r="D580" s="333"/>
      <c r="E580" s="333"/>
      <c r="F580" s="333"/>
      <c r="G580" s="333"/>
      <c r="H580" s="333"/>
      <c r="I580" s="333"/>
      <c r="J580" s="333"/>
      <c r="K580" s="333"/>
      <c r="L580" s="333"/>
      <c r="M580" s="333"/>
    </row>
    <row r="581" spans="2:13">
      <c r="B581" s="531"/>
      <c r="C581" s="333"/>
      <c r="D581" s="333"/>
      <c r="E581" s="333"/>
      <c r="F581" s="333"/>
      <c r="G581" s="333"/>
      <c r="H581" s="333"/>
      <c r="I581" s="333"/>
      <c r="J581" s="333"/>
      <c r="K581" s="333"/>
      <c r="L581" s="333"/>
      <c r="M581" s="333"/>
    </row>
    <row r="582" spans="2:13">
      <c r="B582" s="531"/>
      <c r="C582" s="333"/>
      <c r="D582" s="333"/>
      <c r="E582" s="333"/>
      <c r="F582" s="333"/>
      <c r="G582" s="333"/>
      <c r="H582" s="333"/>
      <c r="I582" s="333"/>
      <c r="J582" s="333"/>
      <c r="K582" s="333"/>
      <c r="L582" s="333"/>
      <c r="M582" s="333"/>
    </row>
    <row r="583" spans="2:13">
      <c r="B583" s="531"/>
      <c r="C583" s="333"/>
      <c r="D583" s="333"/>
      <c r="E583" s="333"/>
      <c r="F583" s="333"/>
      <c r="G583" s="333"/>
      <c r="H583" s="333"/>
      <c r="I583" s="333"/>
      <c r="J583" s="333"/>
      <c r="K583" s="333"/>
      <c r="L583" s="333"/>
      <c r="M583" s="333"/>
    </row>
    <row r="584" spans="2:13">
      <c r="B584" s="531"/>
      <c r="C584" s="333"/>
      <c r="D584" s="333"/>
      <c r="E584" s="333"/>
      <c r="F584" s="333"/>
      <c r="G584" s="333"/>
      <c r="H584" s="333"/>
      <c r="I584" s="333"/>
      <c r="J584" s="333"/>
      <c r="K584" s="333"/>
      <c r="L584" s="333"/>
      <c r="M584" s="333"/>
    </row>
    <row r="585" spans="2:13">
      <c r="B585" s="531"/>
      <c r="C585" s="333"/>
      <c r="D585" s="333"/>
      <c r="E585" s="333"/>
      <c r="F585" s="333"/>
      <c r="G585" s="333"/>
      <c r="H585" s="333"/>
      <c r="I585" s="333"/>
      <c r="J585" s="333"/>
      <c r="K585" s="333"/>
      <c r="L585" s="333"/>
      <c r="M585" s="333"/>
    </row>
    <row r="586" spans="2:13">
      <c r="B586" s="531"/>
      <c r="C586" s="333"/>
      <c r="D586" s="333"/>
      <c r="E586" s="333"/>
      <c r="F586" s="333"/>
      <c r="G586" s="333"/>
      <c r="H586" s="333"/>
      <c r="I586" s="333"/>
      <c r="J586" s="333"/>
      <c r="K586" s="333"/>
      <c r="L586" s="333"/>
      <c r="M586" s="333"/>
    </row>
    <row r="587" spans="2:13">
      <c r="B587" s="531"/>
      <c r="C587" s="333"/>
      <c r="D587" s="333"/>
      <c r="E587" s="333"/>
      <c r="F587" s="333"/>
      <c r="G587" s="333"/>
      <c r="H587" s="333"/>
      <c r="I587" s="333"/>
      <c r="J587" s="333"/>
      <c r="K587" s="333"/>
      <c r="L587" s="333"/>
      <c r="M587" s="333"/>
    </row>
    <row r="588" spans="2:13">
      <c r="B588" s="531"/>
      <c r="C588" s="333"/>
      <c r="D588" s="333"/>
      <c r="E588" s="333"/>
      <c r="F588" s="333"/>
      <c r="G588" s="333"/>
      <c r="H588" s="333"/>
      <c r="I588" s="333"/>
      <c r="J588" s="333"/>
      <c r="K588" s="333"/>
      <c r="L588" s="333"/>
      <c r="M588" s="333"/>
    </row>
    <row r="589" spans="2:13">
      <c r="B589" s="531"/>
      <c r="C589" s="333"/>
      <c r="D589" s="333"/>
      <c r="E589" s="333"/>
      <c r="F589" s="333"/>
      <c r="G589" s="333"/>
      <c r="H589" s="333"/>
      <c r="I589" s="333"/>
      <c r="J589" s="333"/>
      <c r="K589" s="333"/>
      <c r="L589" s="333"/>
      <c r="M589" s="333"/>
    </row>
    <row r="590" spans="2:13">
      <c r="B590" s="531"/>
      <c r="C590" s="333"/>
      <c r="D590" s="333"/>
      <c r="E590" s="333"/>
      <c r="F590" s="333"/>
      <c r="G590" s="333"/>
      <c r="H590" s="333"/>
      <c r="I590" s="333"/>
      <c r="J590" s="333"/>
      <c r="K590" s="333"/>
      <c r="L590" s="333"/>
      <c r="M590" s="333"/>
    </row>
    <row r="591" spans="2:13">
      <c r="B591" s="531"/>
      <c r="C591" s="333"/>
      <c r="D591" s="333"/>
      <c r="E591" s="333"/>
      <c r="F591" s="333"/>
      <c r="G591" s="333"/>
      <c r="H591" s="333"/>
      <c r="I591" s="333"/>
      <c r="J591" s="333"/>
      <c r="K591" s="333"/>
      <c r="L591" s="333"/>
      <c r="M591" s="333"/>
    </row>
    <row r="592" spans="2:13">
      <c r="B592" s="531"/>
      <c r="C592" s="333"/>
      <c r="D592" s="333"/>
      <c r="E592" s="333"/>
      <c r="F592" s="333"/>
      <c r="G592" s="333"/>
      <c r="H592" s="333"/>
      <c r="I592" s="333"/>
      <c r="J592" s="333"/>
      <c r="K592" s="333"/>
      <c r="L592" s="333"/>
      <c r="M592" s="333"/>
    </row>
    <row r="593" spans="2:13">
      <c r="B593" s="531"/>
      <c r="C593" s="333"/>
      <c r="D593" s="333"/>
      <c r="E593" s="333"/>
      <c r="F593" s="333"/>
      <c r="G593" s="333"/>
      <c r="H593" s="333"/>
      <c r="I593" s="333"/>
      <c r="J593" s="333"/>
      <c r="K593" s="333"/>
      <c r="L593" s="333"/>
      <c r="M593" s="333"/>
    </row>
    <row r="594" spans="2:13">
      <c r="B594" s="531"/>
      <c r="C594" s="333"/>
      <c r="D594" s="333"/>
      <c r="E594" s="333"/>
      <c r="F594" s="333"/>
      <c r="G594" s="333"/>
      <c r="H594" s="333"/>
      <c r="I594" s="333"/>
      <c r="J594" s="333"/>
      <c r="K594" s="333"/>
      <c r="L594" s="333"/>
      <c r="M594" s="333"/>
    </row>
    <row r="595" spans="2:13">
      <c r="B595" s="531"/>
      <c r="C595" s="333"/>
      <c r="D595" s="333"/>
      <c r="E595" s="333"/>
      <c r="F595" s="333"/>
      <c r="G595" s="333"/>
      <c r="H595" s="333"/>
      <c r="I595" s="333"/>
      <c r="J595" s="333"/>
      <c r="K595" s="333"/>
      <c r="L595" s="333"/>
      <c r="M595" s="333"/>
    </row>
    <row r="596" spans="2:13">
      <c r="B596" s="531"/>
      <c r="C596" s="333"/>
      <c r="D596" s="333"/>
      <c r="E596" s="333"/>
      <c r="F596" s="333"/>
      <c r="G596" s="333"/>
      <c r="H596" s="333"/>
      <c r="I596" s="333"/>
      <c r="J596" s="333"/>
      <c r="K596" s="333"/>
      <c r="L596" s="333"/>
      <c r="M596" s="333"/>
    </row>
    <row r="597" spans="2:13">
      <c r="B597" s="531"/>
      <c r="C597" s="333"/>
      <c r="D597" s="333"/>
      <c r="E597" s="333"/>
      <c r="F597" s="333"/>
      <c r="G597" s="333"/>
      <c r="H597" s="333"/>
      <c r="I597" s="333"/>
      <c r="J597" s="333"/>
      <c r="K597" s="333"/>
      <c r="L597" s="333"/>
      <c r="M597" s="333"/>
    </row>
    <row r="598" spans="2:13">
      <c r="B598" s="531"/>
      <c r="C598" s="333"/>
      <c r="D598" s="333"/>
      <c r="E598" s="333"/>
      <c r="F598" s="333"/>
      <c r="G598" s="333"/>
      <c r="H598" s="333"/>
      <c r="I598" s="333"/>
      <c r="J598" s="333"/>
      <c r="K598" s="333"/>
      <c r="L598" s="333"/>
      <c r="M598" s="333"/>
    </row>
    <row r="599" spans="2:13">
      <c r="B599" s="531"/>
      <c r="C599" s="333"/>
      <c r="D599" s="333"/>
      <c r="E599" s="333"/>
      <c r="F599" s="333"/>
      <c r="G599" s="333"/>
      <c r="H599" s="333"/>
      <c r="I599" s="333"/>
      <c r="J599" s="333"/>
      <c r="K599" s="333"/>
      <c r="L599" s="333"/>
      <c r="M599" s="333"/>
    </row>
    <row r="600" spans="2:13">
      <c r="B600" s="531"/>
      <c r="C600" s="333"/>
      <c r="D600" s="333"/>
      <c r="E600" s="333"/>
      <c r="F600" s="333"/>
      <c r="G600" s="333"/>
      <c r="H600" s="333"/>
      <c r="I600" s="333"/>
      <c r="J600" s="333"/>
      <c r="K600" s="333"/>
      <c r="L600" s="333"/>
      <c r="M600" s="333"/>
    </row>
    <row r="601" spans="2:13">
      <c r="B601" s="531"/>
      <c r="C601" s="333"/>
      <c r="D601" s="333"/>
      <c r="E601" s="333"/>
      <c r="F601" s="333"/>
      <c r="G601" s="333"/>
      <c r="H601" s="333"/>
      <c r="I601" s="333"/>
      <c r="J601" s="333"/>
      <c r="K601" s="333"/>
      <c r="L601" s="333"/>
      <c r="M601" s="333"/>
    </row>
    <row r="602" spans="2:13">
      <c r="B602" s="531"/>
      <c r="C602" s="333"/>
      <c r="D602" s="333"/>
      <c r="E602" s="333"/>
      <c r="F602" s="333"/>
      <c r="G602" s="333"/>
      <c r="H602" s="333"/>
      <c r="I602" s="333"/>
      <c r="J602" s="333"/>
      <c r="K602" s="333"/>
      <c r="L602" s="333"/>
      <c r="M602" s="333"/>
    </row>
    <row r="603" spans="2:13">
      <c r="B603" s="531"/>
      <c r="C603" s="333"/>
      <c r="D603" s="333"/>
      <c r="E603" s="333"/>
      <c r="F603" s="333"/>
      <c r="G603" s="333"/>
      <c r="H603" s="333"/>
      <c r="I603" s="333"/>
      <c r="J603" s="333"/>
      <c r="K603" s="333"/>
      <c r="L603" s="333"/>
      <c r="M603" s="333"/>
    </row>
    <row r="604" spans="2:13">
      <c r="B604" s="531"/>
      <c r="C604" s="333"/>
      <c r="D604" s="333"/>
      <c r="E604" s="333"/>
      <c r="F604" s="333"/>
      <c r="G604" s="333"/>
      <c r="H604" s="333"/>
      <c r="I604" s="333"/>
      <c r="J604" s="333"/>
      <c r="K604" s="333"/>
      <c r="L604" s="333"/>
      <c r="M604" s="333"/>
    </row>
    <row r="605" spans="2:13">
      <c r="B605" s="531"/>
      <c r="C605" s="333"/>
      <c r="D605" s="333"/>
      <c r="E605" s="333"/>
      <c r="F605" s="333"/>
      <c r="G605" s="333"/>
      <c r="H605" s="333"/>
      <c r="I605" s="333"/>
      <c r="J605" s="333"/>
      <c r="K605" s="333"/>
      <c r="L605" s="333"/>
      <c r="M605" s="333"/>
    </row>
    <row r="606" spans="2:13">
      <c r="B606" s="531"/>
      <c r="C606" s="333"/>
      <c r="D606" s="333"/>
      <c r="E606" s="333"/>
      <c r="F606" s="333"/>
      <c r="G606" s="333"/>
      <c r="H606" s="333"/>
      <c r="I606" s="333"/>
      <c r="J606" s="333"/>
      <c r="K606" s="333"/>
      <c r="L606" s="333"/>
      <c r="M606" s="333"/>
    </row>
    <row r="607" spans="2:13">
      <c r="B607" s="531"/>
      <c r="C607" s="333"/>
      <c r="D607" s="333"/>
      <c r="E607" s="333"/>
      <c r="F607" s="333"/>
      <c r="G607" s="333"/>
      <c r="H607" s="333"/>
      <c r="I607" s="333"/>
      <c r="J607" s="333"/>
      <c r="K607" s="333"/>
      <c r="L607" s="333"/>
      <c r="M607" s="333"/>
    </row>
    <row r="608" spans="2:13">
      <c r="B608" s="531"/>
      <c r="C608" s="333"/>
      <c r="D608" s="333"/>
      <c r="E608" s="333"/>
      <c r="F608" s="333"/>
      <c r="G608" s="333"/>
      <c r="H608" s="333"/>
      <c r="I608" s="333"/>
      <c r="J608" s="333"/>
      <c r="K608" s="333"/>
      <c r="L608" s="333"/>
      <c r="M608" s="333"/>
    </row>
    <row r="609" spans="2:13">
      <c r="B609" s="531"/>
      <c r="C609" s="333"/>
      <c r="D609" s="333"/>
      <c r="E609" s="333"/>
      <c r="F609" s="333"/>
      <c r="G609" s="333"/>
      <c r="H609" s="333"/>
      <c r="I609" s="333"/>
      <c r="J609" s="333"/>
      <c r="K609" s="333"/>
      <c r="L609" s="333"/>
      <c r="M609" s="333"/>
    </row>
    <row r="610" spans="2:13">
      <c r="B610" s="531"/>
      <c r="C610" s="333"/>
      <c r="D610" s="333"/>
      <c r="E610" s="333"/>
      <c r="F610" s="333"/>
      <c r="G610" s="333"/>
      <c r="H610" s="333"/>
      <c r="I610" s="333"/>
      <c r="J610" s="333"/>
      <c r="K610" s="333"/>
      <c r="L610" s="333"/>
      <c r="M610" s="333"/>
    </row>
    <row r="611" spans="2:13">
      <c r="B611" s="531"/>
      <c r="C611" s="333"/>
      <c r="D611" s="333"/>
      <c r="E611" s="333"/>
      <c r="F611" s="333"/>
      <c r="G611" s="333"/>
      <c r="H611" s="333"/>
      <c r="I611" s="333"/>
      <c r="J611" s="333"/>
      <c r="K611" s="333"/>
      <c r="L611" s="333"/>
      <c r="M611" s="333"/>
    </row>
    <row r="612" spans="2:13">
      <c r="B612" s="531"/>
      <c r="C612" s="333"/>
      <c r="D612" s="333"/>
      <c r="E612" s="333"/>
      <c r="F612" s="333"/>
      <c r="G612" s="333"/>
      <c r="H612" s="333"/>
      <c r="I612" s="333"/>
      <c r="J612" s="333"/>
      <c r="K612" s="333"/>
      <c r="L612" s="333"/>
      <c r="M612" s="333"/>
    </row>
    <row r="613" spans="2:13">
      <c r="B613" s="531"/>
      <c r="C613" s="333"/>
      <c r="D613" s="333"/>
      <c r="E613" s="333"/>
      <c r="F613" s="333"/>
      <c r="G613" s="333"/>
      <c r="H613" s="333"/>
      <c r="I613" s="333"/>
      <c r="J613" s="333"/>
      <c r="K613" s="333"/>
      <c r="L613" s="333"/>
      <c r="M613" s="333"/>
    </row>
    <row r="614" spans="2:13">
      <c r="B614" s="531"/>
      <c r="C614" s="333"/>
      <c r="D614" s="333"/>
      <c r="E614" s="333"/>
      <c r="F614" s="333"/>
      <c r="G614" s="333"/>
      <c r="H614" s="333"/>
      <c r="I614" s="333"/>
      <c r="J614" s="333"/>
      <c r="K614" s="333"/>
      <c r="L614" s="333"/>
      <c r="M614" s="333"/>
    </row>
    <row r="615" spans="2:13">
      <c r="B615" s="531"/>
      <c r="C615" s="333"/>
      <c r="D615" s="333"/>
      <c r="E615" s="333"/>
      <c r="F615" s="333"/>
      <c r="G615" s="333"/>
      <c r="H615" s="333"/>
      <c r="I615" s="333"/>
      <c r="J615" s="333"/>
      <c r="K615" s="333"/>
      <c r="L615" s="333"/>
      <c r="M615" s="333"/>
    </row>
    <row r="616" spans="2:13">
      <c r="B616" s="531"/>
      <c r="C616" s="333"/>
      <c r="D616" s="333"/>
      <c r="E616" s="333"/>
      <c r="F616" s="333"/>
      <c r="G616" s="333"/>
      <c r="H616" s="333"/>
      <c r="I616" s="333"/>
      <c r="J616" s="333"/>
      <c r="K616" s="333"/>
      <c r="L616" s="333"/>
      <c r="M616" s="333"/>
    </row>
    <row r="617" spans="2:13">
      <c r="B617" s="531"/>
      <c r="C617" s="333"/>
      <c r="D617" s="333"/>
      <c r="E617" s="333"/>
      <c r="F617" s="333"/>
      <c r="G617" s="333"/>
      <c r="H617" s="333"/>
      <c r="I617" s="333"/>
      <c r="J617" s="333"/>
      <c r="K617" s="333"/>
      <c r="L617" s="333"/>
      <c r="M617" s="333"/>
    </row>
    <row r="618" spans="2:13">
      <c r="B618" s="531"/>
      <c r="C618" s="333"/>
      <c r="D618" s="333"/>
      <c r="E618" s="333"/>
      <c r="F618" s="333"/>
      <c r="G618" s="333"/>
      <c r="H618" s="333"/>
      <c r="I618" s="333"/>
      <c r="J618" s="333"/>
      <c r="K618" s="333"/>
      <c r="L618" s="333"/>
      <c r="M618" s="333"/>
    </row>
    <row r="619" spans="2:13">
      <c r="B619" s="531"/>
      <c r="C619" s="333"/>
      <c r="D619" s="333"/>
      <c r="E619" s="333"/>
      <c r="F619" s="333"/>
      <c r="G619" s="333"/>
      <c r="H619" s="333"/>
      <c r="I619" s="333"/>
      <c r="J619" s="333"/>
      <c r="K619" s="333"/>
      <c r="L619" s="333"/>
      <c r="M619" s="333"/>
    </row>
    <row r="620" spans="2:13">
      <c r="B620" s="531"/>
      <c r="C620" s="333"/>
      <c r="D620" s="333"/>
      <c r="E620" s="333"/>
      <c r="F620" s="333"/>
      <c r="G620" s="333"/>
      <c r="H620" s="333"/>
      <c r="I620" s="333"/>
      <c r="J620" s="333"/>
      <c r="K620" s="333"/>
      <c r="L620" s="333"/>
      <c r="M620" s="333"/>
    </row>
    <row r="621" spans="2:13">
      <c r="B621" s="531"/>
      <c r="C621" s="333"/>
      <c r="D621" s="333"/>
      <c r="E621" s="333"/>
      <c r="F621" s="333"/>
      <c r="G621" s="333"/>
      <c r="H621" s="333"/>
      <c r="I621" s="333"/>
      <c r="J621" s="333"/>
      <c r="K621" s="333"/>
      <c r="L621" s="333"/>
      <c r="M621" s="333"/>
    </row>
    <row r="622" spans="2:13">
      <c r="B622" s="531"/>
      <c r="C622" s="333"/>
      <c r="D622" s="333"/>
      <c r="E622" s="333"/>
      <c r="F622" s="333"/>
      <c r="G622" s="333"/>
      <c r="H622" s="333"/>
      <c r="I622" s="333"/>
      <c r="J622" s="333"/>
      <c r="K622" s="333"/>
      <c r="L622" s="333"/>
      <c r="M622" s="333"/>
    </row>
    <row r="623" spans="2:13">
      <c r="B623" s="531"/>
      <c r="C623" s="333"/>
      <c r="D623" s="333"/>
      <c r="E623" s="333"/>
      <c r="F623" s="333"/>
      <c r="G623" s="333"/>
      <c r="H623" s="333"/>
      <c r="I623" s="333"/>
      <c r="J623" s="333"/>
      <c r="K623" s="333"/>
      <c r="L623" s="333"/>
      <c r="M623" s="333"/>
    </row>
    <row r="624" spans="2:13">
      <c r="B624" s="531"/>
      <c r="C624" s="333"/>
      <c r="D624" s="333"/>
      <c r="E624" s="333"/>
      <c r="F624" s="333"/>
      <c r="G624" s="333"/>
      <c r="H624" s="333"/>
      <c r="I624" s="333"/>
      <c r="J624" s="333"/>
      <c r="K624" s="333"/>
      <c r="L624" s="333"/>
      <c r="M624" s="333"/>
    </row>
    <row r="625" spans="2:13">
      <c r="B625" s="531"/>
      <c r="C625" s="333"/>
      <c r="D625" s="333"/>
      <c r="E625" s="333"/>
      <c r="F625" s="333"/>
      <c r="G625" s="333"/>
      <c r="H625" s="333"/>
      <c r="I625" s="333"/>
      <c r="J625" s="333"/>
      <c r="K625" s="333"/>
      <c r="L625" s="333"/>
      <c r="M625" s="333"/>
    </row>
    <row r="626" spans="2:13">
      <c r="B626" s="531"/>
      <c r="C626" s="333"/>
      <c r="D626" s="333"/>
      <c r="E626" s="333"/>
      <c r="F626" s="333"/>
      <c r="G626" s="333"/>
      <c r="H626" s="333"/>
      <c r="I626" s="333"/>
      <c r="J626" s="333"/>
      <c r="K626" s="333"/>
      <c r="L626" s="333"/>
      <c r="M626" s="333"/>
    </row>
    <row r="627" spans="2:13">
      <c r="B627" s="531"/>
      <c r="C627" s="333"/>
      <c r="D627" s="333"/>
      <c r="E627" s="333"/>
      <c r="F627" s="333"/>
      <c r="G627" s="333"/>
      <c r="H627" s="333"/>
      <c r="I627" s="333"/>
      <c r="J627" s="333"/>
      <c r="K627" s="333"/>
      <c r="L627" s="333"/>
      <c r="M627" s="333"/>
    </row>
    <row r="628" spans="2:13">
      <c r="B628" s="531"/>
      <c r="C628" s="333"/>
      <c r="D628" s="333"/>
      <c r="E628" s="333"/>
      <c r="F628" s="333"/>
      <c r="G628" s="333"/>
      <c r="H628" s="333"/>
      <c r="I628" s="333"/>
      <c r="J628" s="333"/>
      <c r="K628" s="333"/>
      <c r="L628" s="333"/>
      <c r="M628" s="333"/>
    </row>
    <row r="629" spans="2:13">
      <c r="B629" s="531"/>
      <c r="C629" s="333"/>
      <c r="D629" s="333"/>
      <c r="E629" s="333"/>
      <c r="F629" s="333"/>
      <c r="G629" s="333"/>
      <c r="H629" s="333"/>
      <c r="I629" s="333"/>
      <c r="J629" s="333"/>
      <c r="K629" s="333"/>
      <c r="L629" s="333"/>
      <c r="M629" s="333"/>
    </row>
    <row r="630" spans="2:13">
      <c r="B630" s="531"/>
      <c r="C630" s="333"/>
      <c r="D630" s="333"/>
      <c r="E630" s="333"/>
      <c r="F630" s="333"/>
      <c r="G630" s="333"/>
      <c r="H630" s="333"/>
      <c r="I630" s="333"/>
      <c r="J630" s="333"/>
      <c r="K630" s="333"/>
      <c r="L630" s="333"/>
      <c r="M630" s="333"/>
    </row>
    <row r="631" spans="2:13">
      <c r="B631" s="531"/>
      <c r="C631" s="333"/>
      <c r="D631" s="333"/>
      <c r="E631" s="333"/>
      <c r="F631" s="333"/>
      <c r="G631" s="333"/>
      <c r="H631" s="333"/>
      <c r="I631" s="333"/>
      <c r="J631" s="333"/>
      <c r="K631" s="333"/>
      <c r="L631" s="333"/>
      <c r="M631" s="333"/>
    </row>
    <row r="632" spans="2:13">
      <c r="B632" s="531"/>
      <c r="C632" s="333"/>
      <c r="D632" s="333"/>
      <c r="E632" s="333"/>
      <c r="F632" s="333"/>
      <c r="G632" s="333"/>
      <c r="H632" s="333"/>
      <c r="I632" s="333"/>
      <c r="J632" s="333"/>
      <c r="K632" s="333"/>
      <c r="L632" s="333"/>
      <c r="M632" s="333"/>
    </row>
    <row r="633" spans="2:13">
      <c r="B633" s="531"/>
      <c r="C633" s="333"/>
      <c r="D633" s="333"/>
      <c r="E633" s="333"/>
      <c r="F633" s="333"/>
      <c r="G633" s="333"/>
      <c r="H633" s="333"/>
      <c r="I633" s="333"/>
      <c r="J633" s="333"/>
      <c r="K633" s="333"/>
      <c r="L633" s="333"/>
      <c r="M633" s="333"/>
    </row>
    <row r="634" spans="2:13">
      <c r="B634" s="531"/>
      <c r="C634" s="333"/>
      <c r="D634" s="333"/>
      <c r="E634" s="333"/>
      <c r="F634" s="333"/>
      <c r="G634" s="333"/>
      <c r="H634" s="333"/>
      <c r="I634" s="333"/>
      <c r="J634" s="333"/>
      <c r="K634" s="333"/>
      <c r="L634" s="333"/>
      <c r="M634" s="333"/>
    </row>
    <row r="635" spans="2:13">
      <c r="B635" s="531"/>
      <c r="C635" s="333"/>
      <c r="D635" s="333"/>
      <c r="E635" s="333"/>
      <c r="F635" s="333"/>
      <c r="G635" s="333"/>
      <c r="H635" s="333"/>
      <c r="I635" s="333"/>
      <c r="J635" s="333"/>
      <c r="K635" s="333"/>
      <c r="L635" s="333"/>
      <c r="M635" s="333"/>
    </row>
    <row r="636" spans="2:13">
      <c r="B636" s="531"/>
      <c r="C636" s="333"/>
      <c r="D636" s="333"/>
      <c r="E636" s="333"/>
      <c r="F636" s="333"/>
      <c r="G636" s="333"/>
      <c r="H636" s="333"/>
      <c r="I636" s="333"/>
      <c r="J636" s="333"/>
      <c r="K636" s="333"/>
      <c r="L636" s="333"/>
      <c r="M636" s="333"/>
    </row>
    <row r="637" spans="2:13">
      <c r="B637" s="531"/>
      <c r="C637" s="333"/>
      <c r="D637" s="333"/>
      <c r="E637" s="333"/>
      <c r="F637" s="333"/>
      <c r="G637" s="333"/>
      <c r="H637" s="333"/>
      <c r="I637" s="333"/>
      <c r="J637" s="333"/>
      <c r="K637" s="333"/>
      <c r="L637" s="333"/>
      <c r="M637" s="333"/>
    </row>
    <row r="638" spans="2:13">
      <c r="B638" s="531"/>
      <c r="C638" s="333"/>
      <c r="D638" s="333"/>
      <c r="E638" s="333"/>
      <c r="F638" s="333"/>
      <c r="G638" s="333"/>
      <c r="H638" s="333"/>
      <c r="I638" s="333"/>
      <c r="J638" s="333"/>
      <c r="K638" s="333"/>
      <c r="L638" s="333"/>
      <c r="M638" s="333"/>
    </row>
    <row r="639" spans="2:13">
      <c r="B639" s="531"/>
      <c r="C639" s="333"/>
      <c r="D639" s="333"/>
      <c r="E639" s="333"/>
      <c r="F639" s="333"/>
      <c r="G639" s="333"/>
      <c r="H639" s="333"/>
      <c r="I639" s="333"/>
      <c r="J639" s="333"/>
      <c r="K639" s="333"/>
      <c r="L639" s="333"/>
      <c r="M639" s="333"/>
    </row>
    <row r="640" spans="2:13">
      <c r="B640" s="531"/>
      <c r="C640" s="333"/>
      <c r="D640" s="333"/>
      <c r="E640" s="333"/>
      <c r="F640" s="333"/>
      <c r="G640" s="333"/>
      <c r="H640" s="333"/>
      <c r="I640" s="333"/>
      <c r="J640" s="333"/>
      <c r="K640" s="333"/>
      <c r="L640" s="333"/>
      <c r="M640" s="333"/>
    </row>
    <row r="641" spans="2:13">
      <c r="B641" s="531"/>
      <c r="C641" s="333"/>
      <c r="D641" s="333"/>
      <c r="E641" s="333"/>
      <c r="F641" s="333"/>
      <c r="G641" s="333"/>
      <c r="H641" s="333"/>
      <c r="I641" s="333"/>
      <c r="J641" s="333"/>
      <c r="K641" s="333"/>
      <c r="L641" s="333"/>
      <c r="M641" s="333"/>
    </row>
    <row r="642" spans="2:13">
      <c r="B642" s="531"/>
      <c r="C642" s="333"/>
      <c r="D642" s="333"/>
      <c r="E642" s="333"/>
      <c r="F642" s="333"/>
      <c r="G642" s="333"/>
      <c r="H642" s="333"/>
      <c r="I642" s="333"/>
      <c r="J642" s="333"/>
      <c r="K642" s="333"/>
      <c r="L642" s="333"/>
      <c r="M642" s="333"/>
    </row>
    <row r="643" spans="2:13">
      <c r="B643" s="531"/>
      <c r="C643" s="333"/>
      <c r="D643" s="333"/>
      <c r="E643" s="333"/>
      <c r="F643" s="333"/>
      <c r="G643" s="333"/>
      <c r="H643" s="333"/>
      <c r="I643" s="333"/>
      <c r="J643" s="333"/>
      <c r="K643" s="333"/>
      <c r="L643" s="333"/>
      <c r="M643" s="333"/>
    </row>
    <row r="644" spans="2:13">
      <c r="B644" s="531"/>
      <c r="C644" s="333"/>
      <c r="D644" s="333"/>
      <c r="E644" s="333"/>
      <c r="F644" s="333"/>
      <c r="G644" s="333"/>
      <c r="H644" s="333"/>
      <c r="I644" s="333"/>
      <c r="J644" s="333"/>
      <c r="K644" s="333"/>
      <c r="L644" s="333"/>
      <c r="M644" s="333"/>
    </row>
    <row r="645" spans="2:13">
      <c r="B645" s="531"/>
      <c r="C645" s="333"/>
      <c r="D645" s="333"/>
      <c r="E645" s="333"/>
      <c r="F645" s="333"/>
      <c r="G645" s="333"/>
      <c r="H645" s="333"/>
      <c r="I645" s="333"/>
      <c r="J645" s="333"/>
      <c r="K645" s="333"/>
      <c r="L645" s="333"/>
      <c r="M645" s="333"/>
    </row>
    <row r="646" spans="2:13">
      <c r="B646" s="531"/>
      <c r="C646" s="333"/>
      <c r="D646" s="333"/>
      <c r="E646" s="333"/>
      <c r="F646" s="333"/>
      <c r="G646" s="333"/>
      <c r="H646" s="333"/>
      <c r="I646" s="333"/>
      <c r="J646" s="333"/>
      <c r="K646" s="333"/>
      <c r="L646" s="333"/>
      <c r="M646" s="333"/>
    </row>
    <row r="647" spans="2:13">
      <c r="B647" s="531"/>
      <c r="C647" s="333"/>
      <c r="D647" s="333"/>
      <c r="E647" s="333"/>
      <c r="F647" s="333"/>
      <c r="G647" s="333"/>
      <c r="H647" s="333"/>
      <c r="I647" s="333"/>
      <c r="J647" s="333"/>
      <c r="K647" s="333"/>
      <c r="L647" s="333"/>
      <c r="M647" s="333"/>
    </row>
    <row r="648" spans="2:13">
      <c r="B648" s="531"/>
      <c r="C648" s="333"/>
      <c r="D648" s="333"/>
      <c r="E648" s="333"/>
      <c r="F648" s="333"/>
      <c r="G648" s="333"/>
      <c r="H648" s="333"/>
      <c r="I648" s="333"/>
      <c r="J648" s="333"/>
      <c r="K648" s="333"/>
      <c r="L648" s="333"/>
      <c r="M648" s="333"/>
    </row>
    <row r="649" spans="2:13">
      <c r="B649" s="531"/>
      <c r="C649" s="333"/>
      <c r="D649" s="333"/>
      <c r="E649" s="333"/>
      <c r="F649" s="333"/>
      <c r="G649" s="333"/>
      <c r="H649" s="333"/>
      <c r="I649" s="333"/>
      <c r="J649" s="333"/>
      <c r="K649" s="333"/>
      <c r="L649" s="333"/>
      <c r="M649" s="333"/>
    </row>
    <row r="650" spans="2:13">
      <c r="B650" s="531"/>
      <c r="C650" s="333"/>
      <c r="D650" s="333"/>
      <c r="E650" s="333"/>
      <c r="F650" s="333"/>
      <c r="G650" s="333"/>
      <c r="H650" s="333"/>
      <c r="I650" s="333"/>
      <c r="J650" s="333"/>
      <c r="K650" s="333"/>
      <c r="L650" s="333"/>
      <c r="M650" s="333"/>
    </row>
    <row r="651" spans="2:13">
      <c r="B651" s="531"/>
      <c r="C651" s="333"/>
      <c r="D651" s="333"/>
      <c r="E651" s="333"/>
      <c r="F651" s="333"/>
      <c r="G651" s="333"/>
      <c r="H651" s="333"/>
      <c r="I651" s="333"/>
      <c r="J651" s="333"/>
      <c r="K651" s="333"/>
      <c r="L651" s="333"/>
      <c r="M651" s="333"/>
    </row>
    <row r="652" spans="2:13">
      <c r="B652" s="531"/>
      <c r="C652" s="333"/>
      <c r="D652" s="333"/>
      <c r="E652" s="333"/>
      <c r="F652" s="333"/>
      <c r="G652" s="333"/>
      <c r="H652" s="333"/>
      <c r="I652" s="333"/>
      <c r="J652" s="333"/>
      <c r="K652" s="333"/>
      <c r="L652" s="333"/>
      <c r="M652" s="333"/>
    </row>
    <row r="653" spans="2:13">
      <c r="B653" s="531"/>
      <c r="C653" s="333"/>
      <c r="D653" s="333"/>
      <c r="E653" s="333"/>
      <c r="F653" s="333"/>
      <c r="G653" s="333"/>
      <c r="H653" s="333"/>
      <c r="I653" s="333"/>
      <c r="J653" s="333"/>
      <c r="K653" s="333"/>
      <c r="L653" s="333"/>
      <c r="M653" s="333"/>
    </row>
    <row r="654" spans="2:13">
      <c r="B654" s="531"/>
      <c r="C654" s="333"/>
      <c r="D654" s="333"/>
      <c r="E654" s="333"/>
      <c r="F654" s="333"/>
      <c r="G654" s="333"/>
      <c r="H654" s="333"/>
      <c r="I654" s="333"/>
      <c r="J654" s="333"/>
      <c r="K654" s="333"/>
      <c r="L654" s="333"/>
      <c r="M654" s="333"/>
    </row>
    <row r="655" spans="2:13">
      <c r="B655" s="531"/>
      <c r="C655" s="333"/>
      <c r="D655" s="333"/>
      <c r="E655" s="333"/>
      <c r="F655" s="333"/>
      <c r="G655" s="333"/>
      <c r="H655" s="333"/>
      <c r="I655" s="333"/>
      <c r="J655" s="333"/>
      <c r="K655" s="333"/>
      <c r="L655" s="333"/>
      <c r="M655" s="333"/>
    </row>
    <row r="656" spans="2:13">
      <c r="B656" s="531"/>
      <c r="C656" s="333"/>
      <c r="D656" s="333"/>
      <c r="E656" s="333"/>
      <c r="F656" s="333"/>
      <c r="G656" s="333"/>
      <c r="H656" s="333"/>
      <c r="I656" s="333"/>
      <c r="J656" s="333"/>
      <c r="K656" s="333"/>
      <c r="L656" s="333"/>
      <c r="M656" s="333"/>
    </row>
    <row r="657" spans="2:13">
      <c r="B657" s="531"/>
      <c r="C657" s="333"/>
      <c r="D657" s="333"/>
      <c r="E657" s="333"/>
      <c r="F657" s="333"/>
      <c r="G657" s="333"/>
      <c r="H657" s="333"/>
      <c r="I657" s="333"/>
      <c r="J657" s="333"/>
      <c r="K657" s="333"/>
      <c r="L657" s="333"/>
      <c r="M657" s="333"/>
    </row>
    <row r="658" spans="2:13">
      <c r="B658" s="531"/>
      <c r="C658" s="333"/>
      <c r="D658" s="333"/>
      <c r="E658" s="333"/>
      <c r="F658" s="333"/>
      <c r="G658" s="333"/>
      <c r="H658" s="333"/>
      <c r="I658" s="333"/>
      <c r="J658" s="333"/>
      <c r="K658" s="333"/>
      <c r="L658" s="333"/>
      <c r="M658" s="333"/>
    </row>
    <row r="659" spans="2:13">
      <c r="B659" s="531"/>
      <c r="C659" s="333"/>
      <c r="D659" s="333"/>
      <c r="E659" s="333"/>
      <c r="F659" s="333"/>
      <c r="G659" s="333"/>
      <c r="H659" s="333"/>
      <c r="I659" s="333"/>
      <c r="J659" s="333"/>
      <c r="K659" s="333"/>
      <c r="L659" s="333"/>
      <c r="M659" s="333"/>
    </row>
    <row r="660" spans="2:13">
      <c r="B660" s="531"/>
      <c r="C660" s="333"/>
      <c r="D660" s="333"/>
      <c r="E660" s="333"/>
      <c r="F660" s="333"/>
      <c r="G660" s="333"/>
      <c r="H660" s="333"/>
      <c r="I660" s="333"/>
      <c r="J660" s="333"/>
      <c r="K660" s="333"/>
      <c r="L660" s="333"/>
      <c r="M660" s="333"/>
    </row>
    <row r="661" spans="2:13">
      <c r="B661" s="531"/>
      <c r="C661" s="333"/>
      <c r="D661" s="333"/>
      <c r="E661" s="333"/>
      <c r="F661" s="333"/>
      <c r="G661" s="333"/>
      <c r="H661" s="333"/>
      <c r="I661" s="333"/>
      <c r="J661" s="333"/>
      <c r="K661" s="333"/>
      <c r="L661" s="333"/>
      <c r="M661" s="333"/>
    </row>
    <row r="662" spans="2:13">
      <c r="B662" s="531"/>
      <c r="C662" s="333"/>
      <c r="D662" s="333"/>
      <c r="E662" s="333"/>
      <c r="F662" s="333"/>
      <c r="G662" s="333"/>
      <c r="H662" s="333"/>
      <c r="I662" s="333"/>
      <c r="J662" s="333"/>
      <c r="K662" s="333"/>
      <c r="L662" s="333"/>
      <c r="M662" s="333"/>
    </row>
    <row r="663" spans="2:13">
      <c r="B663" s="531"/>
      <c r="C663" s="333"/>
      <c r="D663" s="333"/>
      <c r="E663" s="333"/>
      <c r="F663" s="333"/>
      <c r="G663" s="333"/>
      <c r="H663" s="333"/>
      <c r="I663" s="333"/>
      <c r="J663" s="333"/>
      <c r="K663" s="333"/>
      <c r="L663" s="333"/>
      <c r="M663" s="333"/>
    </row>
    <row r="664" spans="2:13">
      <c r="B664" s="531"/>
      <c r="C664" s="333"/>
      <c r="D664" s="333"/>
      <c r="E664" s="333"/>
      <c r="F664" s="333"/>
      <c r="G664" s="333"/>
      <c r="H664" s="333"/>
      <c r="I664" s="333"/>
      <c r="J664" s="333"/>
      <c r="K664" s="333"/>
      <c r="L664" s="333"/>
      <c r="M664" s="333"/>
    </row>
    <row r="665" spans="2:13">
      <c r="B665" s="531"/>
      <c r="C665" s="333"/>
      <c r="D665" s="333"/>
      <c r="E665" s="333"/>
      <c r="F665" s="333"/>
      <c r="G665" s="333"/>
      <c r="H665" s="333"/>
      <c r="I665" s="333"/>
      <c r="J665" s="333"/>
      <c r="K665" s="333"/>
      <c r="L665" s="333"/>
      <c r="M665" s="333"/>
    </row>
    <row r="666" spans="2:13">
      <c r="B666" s="531"/>
      <c r="C666" s="333"/>
      <c r="D666" s="333"/>
      <c r="E666" s="333"/>
      <c r="F666" s="333"/>
      <c r="G666" s="333"/>
      <c r="H666" s="333"/>
      <c r="I666" s="333"/>
      <c r="J666" s="333"/>
      <c r="K666" s="333"/>
      <c r="L666" s="333"/>
      <c r="M666" s="333"/>
    </row>
    <row r="667" spans="2:13">
      <c r="B667" s="531"/>
      <c r="C667" s="333"/>
      <c r="D667" s="333"/>
      <c r="E667" s="333"/>
      <c r="F667" s="333"/>
      <c r="G667" s="333"/>
      <c r="H667" s="333"/>
      <c r="I667" s="333"/>
      <c r="J667" s="333"/>
      <c r="K667" s="333"/>
      <c r="L667" s="333"/>
      <c r="M667" s="333"/>
    </row>
    <row r="668" spans="2:13">
      <c r="B668" s="531"/>
      <c r="C668" s="333"/>
      <c r="D668" s="333"/>
      <c r="E668" s="333"/>
      <c r="F668" s="333"/>
      <c r="G668" s="333"/>
      <c r="H668" s="333"/>
      <c r="I668" s="333"/>
      <c r="J668" s="333"/>
      <c r="K668" s="333"/>
      <c r="L668" s="333"/>
      <c r="M668" s="333"/>
    </row>
    <row r="669" spans="2:13">
      <c r="B669" s="531"/>
      <c r="C669" s="333"/>
      <c r="D669" s="333"/>
      <c r="E669" s="333"/>
      <c r="F669" s="333"/>
      <c r="G669" s="333"/>
      <c r="H669" s="333"/>
      <c r="I669" s="333"/>
      <c r="J669" s="333"/>
      <c r="K669" s="333"/>
      <c r="L669" s="333"/>
      <c r="M669" s="333"/>
    </row>
    <row r="670" spans="2:13">
      <c r="B670" s="531"/>
      <c r="C670" s="333"/>
      <c r="D670" s="333"/>
      <c r="E670" s="333"/>
      <c r="F670" s="333"/>
      <c r="G670" s="333"/>
      <c r="H670" s="333"/>
      <c r="I670" s="333"/>
      <c r="J670" s="333"/>
      <c r="K670" s="333"/>
      <c r="L670" s="333"/>
      <c r="M670" s="333"/>
    </row>
    <row r="671" spans="2:13">
      <c r="B671" s="531"/>
      <c r="C671" s="333"/>
      <c r="D671" s="333"/>
      <c r="E671" s="333"/>
      <c r="F671" s="333"/>
      <c r="G671" s="333"/>
      <c r="H671" s="333"/>
      <c r="I671" s="333"/>
      <c r="J671" s="333"/>
      <c r="K671" s="333"/>
      <c r="L671" s="333"/>
      <c r="M671" s="333"/>
    </row>
    <row r="672" spans="2:13">
      <c r="B672" s="531"/>
      <c r="C672" s="333"/>
      <c r="D672" s="333"/>
      <c r="E672" s="333"/>
      <c r="F672" s="333"/>
      <c r="G672" s="333"/>
      <c r="H672" s="333"/>
      <c r="I672" s="333"/>
      <c r="J672" s="333"/>
      <c r="K672" s="333"/>
      <c r="L672" s="333"/>
      <c r="M672" s="333"/>
    </row>
    <row r="673" spans="2:13">
      <c r="B673" s="531"/>
      <c r="C673" s="333"/>
      <c r="D673" s="333"/>
      <c r="E673" s="333"/>
      <c r="F673" s="333"/>
      <c r="G673" s="333"/>
      <c r="H673" s="333"/>
      <c r="I673" s="333"/>
      <c r="J673" s="333"/>
      <c r="K673" s="333"/>
      <c r="L673" s="333"/>
      <c r="M673" s="333"/>
    </row>
    <row r="674" spans="2:13">
      <c r="B674" s="531"/>
      <c r="C674" s="333"/>
      <c r="D674" s="333"/>
      <c r="E674" s="333"/>
      <c r="F674" s="333"/>
      <c r="G674" s="333"/>
      <c r="H674" s="333"/>
      <c r="I674" s="333"/>
      <c r="J674" s="333"/>
      <c r="K674" s="333"/>
      <c r="L674" s="333"/>
      <c r="M674" s="333"/>
    </row>
    <row r="675" spans="2:13">
      <c r="B675" s="531"/>
      <c r="C675" s="333"/>
      <c r="D675" s="333"/>
      <c r="E675" s="333"/>
      <c r="F675" s="333"/>
      <c r="G675" s="333"/>
      <c r="H675" s="333"/>
      <c r="I675" s="333"/>
      <c r="J675" s="333"/>
      <c r="K675" s="333"/>
      <c r="L675" s="333"/>
      <c r="M675" s="333"/>
    </row>
    <row r="676" spans="2:13">
      <c r="B676" s="531"/>
      <c r="C676" s="333"/>
      <c r="D676" s="333"/>
      <c r="E676" s="333"/>
      <c r="F676" s="333"/>
      <c r="G676" s="333"/>
      <c r="H676" s="333"/>
      <c r="I676" s="333"/>
      <c r="J676" s="333"/>
      <c r="K676" s="333"/>
      <c r="L676" s="333"/>
      <c r="M676" s="333"/>
    </row>
    <row r="677" spans="2:13">
      <c r="B677" s="531"/>
      <c r="C677" s="333"/>
      <c r="D677" s="333"/>
      <c r="E677" s="333"/>
      <c r="F677" s="333"/>
      <c r="G677" s="333"/>
      <c r="H677" s="333"/>
      <c r="I677" s="333"/>
      <c r="J677" s="333"/>
      <c r="K677" s="333"/>
      <c r="L677" s="333"/>
      <c r="M677" s="333"/>
    </row>
    <row r="678" spans="2:13">
      <c r="B678" s="531"/>
      <c r="C678" s="333"/>
      <c r="D678" s="333"/>
      <c r="E678" s="333"/>
      <c r="F678" s="333"/>
      <c r="G678" s="333"/>
      <c r="H678" s="333"/>
      <c r="I678" s="333"/>
      <c r="J678" s="333"/>
      <c r="K678" s="333"/>
      <c r="L678" s="333"/>
      <c r="M678" s="333"/>
    </row>
    <row r="679" spans="2:13">
      <c r="B679" s="531"/>
      <c r="C679" s="333"/>
      <c r="D679" s="333"/>
      <c r="E679" s="333"/>
      <c r="F679" s="333"/>
      <c r="G679" s="333"/>
      <c r="H679" s="333"/>
      <c r="I679" s="333"/>
      <c r="J679" s="333"/>
      <c r="K679" s="333"/>
      <c r="L679" s="333"/>
      <c r="M679" s="333"/>
    </row>
    <row r="680" spans="2:13">
      <c r="B680" s="531"/>
      <c r="C680" s="333"/>
      <c r="D680" s="333"/>
      <c r="E680" s="333"/>
      <c r="F680" s="333"/>
      <c r="G680" s="333"/>
      <c r="H680" s="333"/>
      <c r="I680" s="333"/>
      <c r="J680" s="333"/>
      <c r="K680" s="333"/>
      <c r="L680" s="333"/>
      <c r="M680" s="333"/>
    </row>
    <row r="681" spans="2:13">
      <c r="B681" s="531"/>
      <c r="C681" s="333"/>
      <c r="D681" s="333"/>
      <c r="E681" s="333"/>
      <c r="F681" s="333"/>
      <c r="G681" s="333"/>
      <c r="H681" s="333"/>
      <c r="I681" s="333"/>
      <c r="J681" s="333"/>
      <c r="K681" s="333"/>
      <c r="L681" s="333"/>
      <c r="M681" s="333"/>
    </row>
    <row r="682" spans="2:13">
      <c r="B682" s="531"/>
      <c r="C682" s="333"/>
      <c r="D682" s="333"/>
      <c r="E682" s="333"/>
      <c r="F682" s="333"/>
      <c r="G682" s="333"/>
      <c r="H682" s="333"/>
      <c r="I682" s="333"/>
      <c r="J682" s="333"/>
      <c r="K682" s="333"/>
      <c r="L682" s="333"/>
      <c r="M682" s="333"/>
    </row>
    <row r="683" spans="2:13">
      <c r="B683" s="531"/>
      <c r="C683" s="333"/>
      <c r="D683" s="333"/>
      <c r="E683" s="333"/>
      <c r="F683" s="333"/>
      <c r="G683" s="333"/>
      <c r="H683" s="333"/>
      <c r="I683" s="333"/>
      <c r="J683" s="333"/>
      <c r="K683" s="333"/>
      <c r="L683" s="333"/>
      <c r="M683" s="333"/>
    </row>
    <row r="684" spans="2:13">
      <c r="B684" s="531"/>
      <c r="C684" s="333"/>
      <c r="D684" s="333"/>
      <c r="E684" s="333"/>
      <c r="F684" s="333"/>
      <c r="G684" s="333"/>
      <c r="H684" s="333"/>
      <c r="I684" s="333"/>
      <c r="J684" s="333"/>
      <c r="K684" s="333"/>
      <c r="L684" s="333"/>
      <c r="M684" s="333"/>
    </row>
    <row r="685" spans="2:13">
      <c r="B685" s="531"/>
      <c r="C685" s="333"/>
      <c r="D685" s="333"/>
      <c r="E685" s="333"/>
      <c r="F685" s="333"/>
      <c r="G685" s="333"/>
      <c r="H685" s="333"/>
      <c r="I685" s="333"/>
      <c r="J685" s="333"/>
      <c r="K685" s="333"/>
      <c r="L685" s="333"/>
      <c r="M685" s="333"/>
    </row>
    <row r="686" spans="2:13">
      <c r="B686" s="531"/>
      <c r="C686" s="333"/>
      <c r="D686" s="333"/>
      <c r="E686" s="333"/>
      <c r="F686" s="333"/>
      <c r="G686" s="333"/>
      <c r="H686" s="333"/>
      <c r="I686" s="333"/>
      <c r="J686" s="333"/>
      <c r="K686" s="333"/>
      <c r="L686" s="333"/>
      <c r="M686" s="333"/>
    </row>
    <row r="687" spans="2:13">
      <c r="B687" s="531"/>
      <c r="C687" s="333"/>
      <c r="D687" s="333"/>
      <c r="E687" s="333"/>
      <c r="F687" s="333"/>
      <c r="G687" s="333"/>
      <c r="H687" s="333"/>
      <c r="I687" s="333"/>
      <c r="J687" s="333"/>
      <c r="K687" s="333"/>
      <c r="L687" s="333"/>
      <c r="M687" s="333"/>
    </row>
    <row r="688" spans="2:13">
      <c r="B688" s="531"/>
      <c r="C688" s="333"/>
      <c r="D688" s="333"/>
      <c r="E688" s="333"/>
      <c r="F688" s="333"/>
      <c r="G688" s="333"/>
      <c r="H688" s="333"/>
      <c r="I688" s="333"/>
      <c r="J688" s="333"/>
      <c r="K688" s="333"/>
      <c r="L688" s="333"/>
      <c r="M688" s="333"/>
    </row>
    <row r="689" spans="2:13">
      <c r="B689" s="531"/>
      <c r="C689" s="333"/>
      <c r="D689" s="333"/>
      <c r="E689" s="333"/>
      <c r="F689" s="333"/>
      <c r="G689" s="333"/>
      <c r="H689" s="333"/>
      <c r="I689" s="333"/>
      <c r="J689" s="333"/>
      <c r="K689" s="333"/>
      <c r="L689" s="333"/>
      <c r="M689" s="333"/>
    </row>
    <row r="690" spans="2:13">
      <c r="B690" s="531"/>
      <c r="C690" s="333"/>
      <c r="D690" s="333"/>
      <c r="E690" s="333"/>
      <c r="F690" s="333"/>
      <c r="G690" s="333"/>
      <c r="H690" s="333"/>
      <c r="I690" s="333"/>
      <c r="J690" s="333"/>
      <c r="K690" s="333"/>
      <c r="L690" s="333"/>
      <c r="M690" s="333"/>
    </row>
    <row r="691" spans="2:13">
      <c r="B691" s="531"/>
      <c r="C691" s="333"/>
      <c r="D691" s="333"/>
      <c r="E691" s="333"/>
      <c r="F691" s="333"/>
      <c r="G691" s="333"/>
      <c r="H691" s="333"/>
      <c r="I691" s="333"/>
      <c r="J691" s="333"/>
      <c r="K691" s="333"/>
      <c r="L691" s="333"/>
      <c r="M691" s="333"/>
    </row>
    <row r="692" spans="2:13">
      <c r="B692" s="531"/>
      <c r="C692" s="333"/>
      <c r="D692" s="333"/>
      <c r="E692" s="333"/>
      <c r="F692" s="333"/>
      <c r="G692" s="333"/>
      <c r="H692" s="333"/>
      <c r="I692" s="333"/>
      <c r="J692" s="333"/>
      <c r="K692" s="333"/>
      <c r="L692" s="333"/>
      <c r="M692" s="333"/>
    </row>
    <row r="693" spans="2:13">
      <c r="B693" s="531"/>
      <c r="C693" s="333"/>
      <c r="D693" s="333"/>
      <c r="E693" s="333"/>
      <c r="F693" s="333"/>
      <c r="G693" s="333"/>
      <c r="H693" s="333"/>
      <c r="I693" s="333"/>
      <c r="J693" s="333"/>
      <c r="K693" s="333"/>
      <c r="L693" s="333"/>
      <c r="M693" s="333"/>
    </row>
    <row r="694" spans="2:13">
      <c r="B694" s="531"/>
      <c r="C694" s="333"/>
      <c r="D694" s="333"/>
      <c r="E694" s="333"/>
      <c r="F694" s="333"/>
      <c r="G694" s="333"/>
      <c r="H694" s="333"/>
      <c r="I694" s="333"/>
      <c r="J694" s="333"/>
      <c r="K694" s="333"/>
      <c r="L694" s="333"/>
      <c r="M694" s="333"/>
    </row>
    <row r="695" spans="2:13">
      <c r="B695" s="531"/>
      <c r="C695" s="333"/>
      <c r="D695" s="333"/>
      <c r="E695" s="333"/>
      <c r="F695" s="333"/>
      <c r="G695" s="333"/>
      <c r="H695" s="333"/>
      <c r="I695" s="333"/>
      <c r="J695" s="333"/>
      <c r="K695" s="333"/>
      <c r="L695" s="333"/>
      <c r="M695" s="333"/>
    </row>
    <row r="696" spans="2:13">
      <c r="B696" s="531"/>
      <c r="C696" s="333"/>
      <c r="D696" s="333"/>
      <c r="E696" s="333"/>
      <c r="F696" s="333"/>
      <c r="G696" s="333"/>
      <c r="H696" s="333"/>
      <c r="I696" s="333"/>
      <c r="J696" s="333"/>
      <c r="K696" s="333"/>
      <c r="L696" s="333"/>
      <c r="M696" s="333"/>
    </row>
    <row r="697" spans="2:13">
      <c r="B697" s="531"/>
      <c r="C697" s="333"/>
      <c r="D697" s="333"/>
      <c r="E697" s="333"/>
      <c r="F697" s="333"/>
      <c r="G697" s="333"/>
      <c r="H697" s="333"/>
      <c r="I697" s="333"/>
      <c r="J697" s="333"/>
      <c r="K697" s="333"/>
      <c r="L697" s="333"/>
      <c r="M697" s="333"/>
    </row>
    <row r="698" spans="2:13">
      <c r="B698" s="531"/>
      <c r="C698" s="333"/>
      <c r="D698" s="333"/>
      <c r="E698" s="333"/>
      <c r="F698" s="333"/>
      <c r="G698" s="333"/>
      <c r="H698" s="333"/>
      <c r="I698" s="333"/>
      <c r="J698" s="333"/>
      <c r="K698" s="333"/>
      <c r="L698" s="333"/>
      <c r="M698" s="333"/>
    </row>
    <row r="699" spans="2:13">
      <c r="B699" s="531"/>
      <c r="C699" s="333"/>
      <c r="D699" s="333"/>
      <c r="E699" s="333"/>
      <c r="F699" s="333"/>
      <c r="G699" s="333"/>
      <c r="H699" s="333"/>
      <c r="I699" s="333"/>
      <c r="J699" s="333"/>
      <c r="K699" s="333"/>
      <c r="L699" s="333"/>
      <c r="M699" s="333"/>
    </row>
    <row r="700" spans="2:13">
      <c r="B700" s="531"/>
      <c r="C700" s="333"/>
      <c r="D700" s="333"/>
      <c r="E700" s="333"/>
      <c r="F700" s="333"/>
      <c r="G700" s="333"/>
      <c r="H700" s="333"/>
      <c r="I700" s="333"/>
      <c r="J700" s="333"/>
      <c r="K700" s="333"/>
      <c r="L700" s="333"/>
      <c r="M700" s="333"/>
    </row>
    <row r="701" spans="2:13">
      <c r="B701" s="531"/>
      <c r="C701" s="333"/>
      <c r="D701" s="333"/>
      <c r="E701" s="333"/>
      <c r="F701" s="333"/>
      <c r="G701" s="333"/>
      <c r="H701" s="333"/>
      <c r="I701" s="333"/>
      <c r="J701" s="333"/>
      <c r="K701" s="333"/>
      <c r="L701" s="333"/>
      <c r="M701" s="333"/>
    </row>
    <row r="702" spans="2:13">
      <c r="B702" s="531"/>
      <c r="C702" s="333"/>
      <c r="D702" s="333"/>
      <c r="E702" s="333"/>
      <c r="F702" s="333"/>
      <c r="G702" s="333"/>
      <c r="H702" s="333"/>
      <c r="I702" s="333"/>
      <c r="J702" s="333"/>
      <c r="K702" s="333"/>
      <c r="L702" s="333"/>
      <c r="M702" s="333"/>
    </row>
    <row r="703" spans="2:13">
      <c r="B703" s="531"/>
      <c r="C703" s="333"/>
      <c r="D703" s="333"/>
      <c r="E703" s="333"/>
      <c r="F703" s="333"/>
      <c r="G703" s="333"/>
      <c r="H703" s="333"/>
      <c r="I703" s="333"/>
      <c r="J703" s="333"/>
      <c r="K703" s="333"/>
      <c r="L703" s="333"/>
      <c r="M703" s="333"/>
    </row>
    <row r="704" spans="2:13">
      <c r="B704" s="531"/>
      <c r="C704" s="333"/>
      <c r="D704" s="333"/>
      <c r="E704" s="333"/>
      <c r="F704" s="333"/>
      <c r="G704" s="333"/>
      <c r="H704" s="333"/>
      <c r="I704" s="333"/>
      <c r="J704" s="333"/>
      <c r="K704" s="333"/>
      <c r="L704" s="333"/>
      <c r="M704" s="333"/>
    </row>
    <row r="705" spans="2:13">
      <c r="B705" s="531"/>
      <c r="C705" s="333"/>
      <c r="D705" s="333"/>
      <c r="E705" s="333"/>
      <c r="F705" s="333"/>
      <c r="G705" s="333"/>
      <c r="H705" s="333"/>
      <c r="I705" s="333"/>
      <c r="J705" s="333"/>
      <c r="K705" s="333"/>
      <c r="L705" s="333"/>
      <c r="M705" s="333"/>
    </row>
    <row r="706" spans="2:13">
      <c r="B706" s="531"/>
      <c r="C706" s="333"/>
      <c r="D706" s="333"/>
      <c r="E706" s="333"/>
      <c r="F706" s="333"/>
      <c r="G706" s="333"/>
      <c r="H706" s="333"/>
      <c r="I706" s="333"/>
      <c r="J706" s="333"/>
      <c r="K706" s="333"/>
      <c r="L706" s="333"/>
      <c r="M706" s="333"/>
    </row>
    <row r="707" spans="2:13">
      <c r="B707" s="531"/>
      <c r="C707" s="333"/>
      <c r="D707" s="333"/>
      <c r="E707" s="333"/>
      <c r="F707" s="333"/>
      <c r="G707" s="333"/>
      <c r="H707" s="333"/>
      <c r="I707" s="333"/>
      <c r="J707" s="333"/>
      <c r="K707" s="333"/>
      <c r="L707" s="333"/>
      <c r="M707" s="333"/>
    </row>
    <row r="708" spans="2:13">
      <c r="B708" s="531"/>
      <c r="C708" s="333"/>
      <c r="D708" s="333"/>
      <c r="E708" s="333"/>
      <c r="F708" s="333"/>
      <c r="G708" s="333"/>
      <c r="H708" s="333"/>
      <c r="I708" s="333"/>
      <c r="J708" s="333"/>
      <c r="K708" s="333"/>
      <c r="L708" s="333"/>
      <c r="M708" s="333"/>
    </row>
    <row r="709" spans="2:13">
      <c r="B709" s="531"/>
      <c r="C709" s="333"/>
      <c r="D709" s="333"/>
      <c r="E709" s="333"/>
      <c r="F709" s="333"/>
      <c r="G709" s="333"/>
      <c r="H709" s="333"/>
      <c r="I709" s="333"/>
      <c r="J709" s="333"/>
      <c r="K709" s="333"/>
      <c r="L709" s="333"/>
      <c r="M709" s="333"/>
    </row>
    <row r="710" spans="2:13">
      <c r="B710" s="531"/>
      <c r="C710" s="333"/>
      <c r="D710" s="333"/>
      <c r="E710" s="333"/>
      <c r="F710" s="333"/>
      <c r="G710" s="333"/>
      <c r="H710" s="333"/>
      <c r="I710" s="333"/>
      <c r="J710" s="333"/>
      <c r="K710" s="333"/>
      <c r="L710" s="333"/>
      <c r="M710" s="333"/>
    </row>
    <row r="711" spans="2:13">
      <c r="B711" s="531"/>
      <c r="C711" s="333"/>
      <c r="D711" s="333"/>
      <c r="E711" s="333"/>
      <c r="F711" s="333"/>
      <c r="G711" s="333"/>
      <c r="H711" s="333"/>
      <c r="I711" s="333"/>
      <c r="J711" s="333"/>
      <c r="K711" s="333"/>
      <c r="L711" s="333"/>
      <c r="M711" s="333"/>
    </row>
    <row r="712" spans="2:13">
      <c r="B712" s="531"/>
      <c r="C712" s="333"/>
      <c r="D712" s="333"/>
      <c r="E712" s="333"/>
      <c r="F712" s="333"/>
      <c r="G712" s="333"/>
      <c r="H712" s="333"/>
      <c r="I712" s="333"/>
      <c r="J712" s="333"/>
      <c r="K712" s="333"/>
      <c r="L712" s="333"/>
      <c r="M712" s="333"/>
    </row>
    <row r="713" spans="2:13">
      <c r="B713" s="531"/>
      <c r="C713" s="333"/>
      <c r="D713" s="333"/>
      <c r="E713" s="333"/>
      <c r="F713" s="333"/>
      <c r="G713" s="333"/>
      <c r="H713" s="333"/>
      <c r="I713" s="333"/>
      <c r="J713" s="333"/>
      <c r="K713" s="333"/>
      <c r="L713" s="333"/>
      <c r="M713" s="333"/>
    </row>
    <row r="714" spans="2:13">
      <c r="B714" s="531"/>
      <c r="C714" s="333"/>
      <c r="D714" s="333"/>
      <c r="E714" s="333"/>
      <c r="F714" s="333"/>
      <c r="G714" s="333"/>
      <c r="H714" s="333"/>
      <c r="I714" s="333"/>
      <c r="J714" s="333"/>
      <c r="K714" s="333"/>
      <c r="L714" s="333"/>
      <c r="M714" s="333"/>
    </row>
    <row r="715" spans="2:13">
      <c r="B715" s="531"/>
      <c r="C715" s="333"/>
      <c r="D715" s="333"/>
      <c r="E715" s="333"/>
      <c r="F715" s="333"/>
      <c r="G715" s="333"/>
      <c r="H715" s="333"/>
      <c r="I715" s="333"/>
      <c r="J715" s="333"/>
      <c r="K715" s="333"/>
      <c r="L715" s="333"/>
      <c r="M715" s="333"/>
    </row>
    <row r="716" spans="2:13">
      <c r="B716" s="531"/>
      <c r="C716" s="333"/>
      <c r="D716" s="333"/>
      <c r="E716" s="333"/>
      <c r="F716" s="333"/>
      <c r="G716" s="333"/>
      <c r="H716" s="333"/>
      <c r="I716" s="333"/>
      <c r="J716" s="333"/>
      <c r="K716" s="333"/>
      <c r="L716" s="333"/>
      <c r="M716" s="333"/>
    </row>
    <row r="717" spans="2:13">
      <c r="B717" s="531"/>
      <c r="C717" s="333"/>
      <c r="D717" s="333"/>
      <c r="E717" s="333"/>
      <c r="F717" s="333"/>
      <c r="G717" s="333"/>
      <c r="H717" s="333"/>
      <c r="I717" s="333"/>
      <c r="J717" s="333"/>
      <c r="K717" s="333"/>
      <c r="L717" s="333"/>
      <c r="M717" s="333"/>
    </row>
    <row r="718" spans="2:13">
      <c r="B718" s="531"/>
      <c r="C718" s="333"/>
      <c r="D718" s="333"/>
      <c r="E718" s="333"/>
      <c r="F718" s="333"/>
      <c r="G718" s="333"/>
      <c r="H718" s="333"/>
      <c r="I718" s="333"/>
      <c r="J718" s="333"/>
      <c r="K718" s="333"/>
      <c r="L718" s="333"/>
      <c r="M718" s="333"/>
    </row>
    <row r="719" spans="2:13">
      <c r="B719" s="531"/>
      <c r="C719" s="333"/>
      <c r="D719" s="333"/>
      <c r="E719" s="333"/>
      <c r="F719" s="333"/>
      <c r="G719" s="333"/>
      <c r="H719" s="333"/>
      <c r="I719" s="333"/>
      <c r="J719" s="333"/>
      <c r="K719" s="333"/>
      <c r="L719" s="333"/>
      <c r="M719" s="333"/>
    </row>
    <row r="720" spans="2:13">
      <c r="B720" s="531"/>
      <c r="C720" s="333"/>
      <c r="D720" s="333"/>
      <c r="E720" s="333"/>
      <c r="F720" s="333"/>
      <c r="G720" s="333"/>
      <c r="H720" s="333"/>
      <c r="I720" s="333"/>
      <c r="J720" s="333"/>
      <c r="K720" s="333"/>
      <c r="L720" s="333"/>
      <c r="M720" s="333"/>
    </row>
    <row r="721" spans="2:13">
      <c r="B721" s="531"/>
      <c r="C721" s="333"/>
      <c r="D721" s="333"/>
      <c r="E721" s="333"/>
      <c r="F721" s="333"/>
      <c r="G721" s="333"/>
      <c r="H721" s="333"/>
      <c r="I721" s="333"/>
      <c r="J721" s="333"/>
      <c r="K721" s="333"/>
      <c r="L721" s="333"/>
      <c r="M721" s="333"/>
    </row>
    <row r="722" spans="2:13">
      <c r="B722" s="531"/>
      <c r="C722" s="333"/>
      <c r="D722" s="333"/>
      <c r="E722" s="333"/>
      <c r="F722" s="333"/>
      <c r="G722" s="333"/>
      <c r="H722" s="333"/>
      <c r="I722" s="333"/>
      <c r="J722" s="333"/>
      <c r="K722" s="333"/>
      <c r="L722" s="333"/>
      <c r="M722" s="333"/>
    </row>
    <row r="723" spans="2:13">
      <c r="B723" s="531"/>
      <c r="C723" s="333"/>
      <c r="D723" s="333"/>
      <c r="E723" s="333"/>
      <c r="F723" s="333"/>
      <c r="G723" s="333"/>
      <c r="H723" s="333"/>
      <c r="I723" s="333"/>
      <c r="J723" s="333"/>
      <c r="K723" s="333"/>
      <c r="L723" s="333"/>
      <c r="M723" s="333"/>
    </row>
    <row r="724" spans="2:13">
      <c r="B724" s="531"/>
      <c r="C724" s="333"/>
      <c r="D724" s="333"/>
      <c r="E724" s="333"/>
      <c r="F724" s="333"/>
      <c r="G724" s="333"/>
      <c r="H724" s="333"/>
      <c r="I724" s="333"/>
      <c r="J724" s="333"/>
      <c r="K724" s="333"/>
      <c r="L724" s="333"/>
      <c r="M724" s="333"/>
    </row>
    <row r="725" spans="2:13">
      <c r="B725" s="531"/>
      <c r="C725" s="333"/>
      <c r="D725" s="333"/>
      <c r="E725" s="333"/>
      <c r="F725" s="333"/>
      <c r="G725" s="333"/>
      <c r="H725" s="333"/>
      <c r="I725" s="333"/>
      <c r="J725" s="333"/>
      <c r="K725" s="333"/>
      <c r="L725" s="333"/>
      <c r="M725" s="333"/>
    </row>
    <row r="726" spans="2:13">
      <c r="B726" s="531"/>
      <c r="C726" s="333"/>
      <c r="D726" s="333"/>
      <c r="E726" s="333"/>
      <c r="F726" s="333"/>
      <c r="G726" s="333"/>
      <c r="H726" s="333"/>
      <c r="I726" s="333"/>
      <c r="J726" s="333"/>
      <c r="K726" s="333"/>
      <c r="L726" s="333"/>
      <c r="M726" s="333"/>
    </row>
    <row r="727" spans="2:13">
      <c r="B727" s="531"/>
      <c r="C727" s="333"/>
      <c r="D727" s="333"/>
      <c r="E727" s="333"/>
      <c r="F727" s="333"/>
      <c r="G727" s="333"/>
      <c r="H727" s="333"/>
      <c r="I727" s="333"/>
      <c r="J727" s="333"/>
      <c r="K727" s="333"/>
      <c r="L727" s="333"/>
      <c r="M727" s="333"/>
    </row>
    <row r="728" spans="2:13">
      <c r="B728" s="531"/>
      <c r="C728" s="333"/>
      <c r="D728" s="333"/>
      <c r="E728" s="333"/>
      <c r="F728" s="333"/>
      <c r="G728" s="333"/>
      <c r="H728" s="333"/>
      <c r="I728" s="333"/>
      <c r="J728" s="333"/>
      <c r="K728" s="333"/>
      <c r="L728" s="333"/>
      <c r="M728" s="333"/>
    </row>
    <row r="729" spans="2:13">
      <c r="B729" s="531"/>
      <c r="C729" s="333"/>
      <c r="D729" s="333"/>
      <c r="E729" s="333"/>
      <c r="F729" s="333"/>
      <c r="G729" s="333"/>
      <c r="H729" s="333"/>
      <c r="I729" s="333"/>
      <c r="J729" s="333"/>
      <c r="K729" s="333"/>
      <c r="L729" s="333"/>
      <c r="M729" s="333"/>
    </row>
    <row r="730" spans="2:13">
      <c r="B730" s="531"/>
      <c r="C730" s="333"/>
      <c r="D730" s="333"/>
      <c r="E730" s="333"/>
      <c r="F730" s="333"/>
      <c r="G730" s="333"/>
      <c r="H730" s="333"/>
      <c r="I730" s="333"/>
      <c r="J730" s="333"/>
      <c r="K730" s="333"/>
      <c r="L730" s="333"/>
      <c r="M730" s="333"/>
    </row>
    <row r="731" spans="2:13">
      <c r="B731" s="531"/>
      <c r="C731" s="333"/>
      <c r="D731" s="333"/>
      <c r="E731" s="333"/>
      <c r="F731" s="333"/>
      <c r="G731" s="333"/>
      <c r="H731" s="333"/>
      <c r="I731" s="333"/>
      <c r="J731" s="333"/>
      <c r="K731" s="333"/>
      <c r="L731" s="333"/>
      <c r="M731" s="333"/>
    </row>
    <row r="732" spans="2:13">
      <c r="B732" s="531"/>
      <c r="C732" s="333"/>
      <c r="D732" s="333"/>
      <c r="E732" s="333"/>
      <c r="F732" s="333"/>
      <c r="G732" s="333"/>
      <c r="H732" s="333"/>
      <c r="I732" s="333"/>
      <c r="J732" s="333"/>
      <c r="K732" s="333"/>
      <c r="L732" s="333"/>
      <c r="M732" s="333"/>
    </row>
    <row r="733" spans="2:13">
      <c r="B733" s="531"/>
      <c r="C733" s="333"/>
      <c r="D733" s="333"/>
      <c r="E733" s="333"/>
      <c r="F733" s="333"/>
      <c r="G733" s="333"/>
      <c r="H733" s="333"/>
      <c r="I733" s="333"/>
      <c r="J733" s="333"/>
      <c r="K733" s="333"/>
      <c r="L733" s="333"/>
      <c r="M733" s="333"/>
    </row>
    <row r="734" spans="2:13">
      <c r="B734" s="531"/>
      <c r="C734" s="333"/>
      <c r="D734" s="333"/>
      <c r="E734" s="333"/>
      <c r="F734" s="333"/>
      <c r="G734" s="333"/>
      <c r="H734" s="333"/>
      <c r="I734" s="333"/>
      <c r="J734" s="333"/>
      <c r="K734" s="333"/>
      <c r="L734" s="333"/>
      <c r="M734" s="333"/>
    </row>
    <row r="735" spans="2:13">
      <c r="B735" s="531"/>
      <c r="C735" s="333"/>
      <c r="D735" s="333"/>
      <c r="E735" s="333"/>
      <c r="F735" s="333"/>
      <c r="G735" s="333"/>
      <c r="H735" s="333"/>
      <c r="I735" s="333"/>
      <c r="J735" s="333"/>
      <c r="K735" s="333"/>
      <c r="L735" s="333"/>
      <c r="M735" s="333"/>
    </row>
    <row r="736" spans="2:13">
      <c r="B736" s="531"/>
      <c r="C736" s="333"/>
      <c r="D736" s="333"/>
      <c r="E736" s="333"/>
      <c r="F736" s="333"/>
      <c r="G736" s="333"/>
      <c r="H736" s="333"/>
      <c r="I736" s="333"/>
      <c r="J736" s="333"/>
      <c r="K736" s="333"/>
      <c r="L736" s="333"/>
      <c r="M736" s="333"/>
    </row>
    <row r="737" spans="2:13">
      <c r="B737" s="531"/>
      <c r="C737" s="333"/>
      <c r="D737" s="333"/>
      <c r="E737" s="333"/>
      <c r="F737" s="333"/>
      <c r="G737" s="333"/>
      <c r="H737" s="333"/>
      <c r="I737" s="333"/>
      <c r="J737" s="333"/>
      <c r="K737" s="333"/>
      <c r="L737" s="333"/>
      <c r="M737" s="333"/>
    </row>
    <row r="738" spans="2:13">
      <c r="B738" s="531"/>
      <c r="C738" s="333"/>
      <c r="D738" s="333"/>
      <c r="E738" s="333"/>
      <c r="F738" s="333"/>
      <c r="G738" s="333"/>
      <c r="H738" s="333"/>
      <c r="I738" s="333"/>
      <c r="J738" s="333"/>
      <c r="K738" s="333"/>
      <c r="L738" s="333"/>
      <c r="M738" s="333"/>
    </row>
    <row r="739" spans="2:13">
      <c r="B739" s="531"/>
      <c r="C739" s="333"/>
      <c r="D739" s="333"/>
      <c r="E739" s="333"/>
      <c r="F739" s="333"/>
      <c r="G739" s="333"/>
      <c r="H739" s="333"/>
      <c r="I739" s="333"/>
      <c r="J739" s="333"/>
      <c r="K739" s="333"/>
      <c r="L739" s="333"/>
      <c r="M739" s="333"/>
    </row>
    <row r="740" spans="2:13">
      <c r="B740" s="531"/>
      <c r="C740" s="333"/>
      <c r="D740" s="333"/>
      <c r="E740" s="333"/>
      <c r="F740" s="333"/>
      <c r="G740" s="333"/>
      <c r="H740" s="333"/>
      <c r="I740" s="333"/>
      <c r="J740" s="333"/>
      <c r="K740" s="333"/>
      <c r="L740" s="333"/>
      <c r="M740" s="333"/>
    </row>
    <row r="741" spans="2:13">
      <c r="B741" s="531"/>
      <c r="C741" s="333"/>
      <c r="D741" s="333"/>
      <c r="E741" s="333"/>
      <c r="F741" s="333"/>
      <c r="G741" s="333"/>
      <c r="H741" s="333"/>
      <c r="I741" s="333"/>
      <c r="J741" s="333"/>
      <c r="K741" s="333"/>
      <c r="L741" s="333"/>
      <c r="M741" s="333"/>
    </row>
    <row r="742" spans="2:13">
      <c r="B742" s="531"/>
      <c r="C742" s="333"/>
      <c r="D742" s="333"/>
      <c r="E742" s="333"/>
      <c r="F742" s="333"/>
      <c r="G742" s="333"/>
      <c r="H742" s="333"/>
      <c r="I742" s="333"/>
      <c r="J742" s="333"/>
      <c r="K742" s="333"/>
      <c r="L742" s="333"/>
      <c r="M742" s="333"/>
    </row>
    <row r="743" spans="2:13">
      <c r="B743" s="531"/>
      <c r="C743" s="333"/>
      <c r="D743" s="333"/>
      <c r="E743" s="333"/>
      <c r="F743" s="333"/>
      <c r="G743" s="333"/>
      <c r="H743" s="333"/>
      <c r="I743" s="333"/>
      <c r="J743" s="333"/>
      <c r="K743" s="333"/>
      <c r="L743" s="333"/>
      <c r="M743" s="333"/>
    </row>
    <row r="744" spans="2:13">
      <c r="B744" s="531"/>
      <c r="C744" s="333"/>
      <c r="D744" s="333"/>
      <c r="E744" s="333"/>
      <c r="F744" s="333"/>
      <c r="G744" s="333"/>
      <c r="H744" s="333"/>
      <c r="I744" s="333"/>
      <c r="J744" s="333"/>
      <c r="K744" s="333"/>
      <c r="L744" s="333"/>
      <c r="M744" s="333"/>
    </row>
    <row r="745" spans="2:13">
      <c r="B745" s="531"/>
      <c r="C745" s="333"/>
      <c r="D745" s="333"/>
      <c r="E745" s="333"/>
      <c r="F745" s="333"/>
      <c r="G745" s="333"/>
      <c r="H745" s="333"/>
      <c r="I745" s="333"/>
      <c r="J745" s="333"/>
      <c r="K745" s="333"/>
      <c r="L745" s="333"/>
      <c r="M745" s="333"/>
    </row>
    <row r="746" spans="2:13">
      <c r="B746" s="531"/>
      <c r="C746" s="333"/>
      <c r="D746" s="333"/>
      <c r="E746" s="333"/>
      <c r="F746" s="333"/>
      <c r="G746" s="333"/>
      <c r="H746" s="333"/>
      <c r="I746" s="333"/>
      <c r="J746" s="333"/>
      <c r="K746" s="333"/>
      <c r="L746" s="333"/>
      <c r="M746" s="333"/>
    </row>
    <row r="747" spans="2:13">
      <c r="B747" s="531"/>
      <c r="C747" s="333"/>
      <c r="D747" s="333"/>
      <c r="E747" s="333"/>
      <c r="F747" s="333"/>
      <c r="G747" s="333"/>
      <c r="H747" s="333"/>
      <c r="I747" s="333"/>
      <c r="J747" s="333"/>
      <c r="K747" s="333"/>
      <c r="L747" s="333"/>
      <c r="M747" s="333"/>
    </row>
    <row r="748" spans="2:13">
      <c r="B748" s="531"/>
      <c r="C748" s="333"/>
      <c r="D748" s="333"/>
      <c r="E748" s="333"/>
      <c r="F748" s="333"/>
      <c r="G748" s="333"/>
      <c r="H748" s="333"/>
      <c r="I748" s="333"/>
      <c r="J748" s="333"/>
      <c r="K748" s="333"/>
      <c r="L748" s="333"/>
      <c r="M748" s="333"/>
    </row>
    <row r="749" spans="2:13">
      <c r="B749" s="531"/>
      <c r="C749" s="333"/>
      <c r="D749" s="333"/>
      <c r="E749" s="333"/>
      <c r="F749" s="333"/>
      <c r="G749" s="333"/>
      <c r="H749" s="333"/>
      <c r="I749" s="333"/>
      <c r="J749" s="333"/>
      <c r="K749" s="333"/>
      <c r="L749" s="333"/>
      <c r="M749" s="333"/>
    </row>
    <row r="750" spans="2:13">
      <c r="B750" s="531"/>
      <c r="C750" s="333"/>
      <c r="D750" s="333"/>
      <c r="E750" s="333"/>
      <c r="F750" s="333"/>
      <c r="G750" s="333"/>
      <c r="H750" s="333"/>
      <c r="I750" s="333"/>
      <c r="J750" s="333"/>
      <c r="K750" s="333"/>
      <c r="L750" s="333"/>
      <c r="M750" s="333"/>
    </row>
    <row r="751" spans="2:13">
      <c r="B751" s="531"/>
      <c r="C751" s="333"/>
      <c r="D751" s="333"/>
      <c r="E751" s="333"/>
      <c r="F751" s="333"/>
      <c r="G751" s="333"/>
      <c r="H751" s="333"/>
      <c r="I751" s="333"/>
      <c r="J751" s="333"/>
      <c r="K751" s="333"/>
      <c r="L751" s="333"/>
      <c r="M751" s="333"/>
    </row>
    <row r="752" spans="2:13">
      <c r="B752" s="531"/>
      <c r="C752" s="333"/>
      <c r="D752" s="333"/>
      <c r="E752" s="333"/>
      <c r="F752" s="333"/>
      <c r="G752" s="333"/>
      <c r="H752" s="333"/>
      <c r="I752" s="333"/>
      <c r="J752" s="333"/>
      <c r="K752" s="333"/>
      <c r="L752" s="333"/>
      <c r="M752" s="333"/>
    </row>
    <row r="753" spans="2:13">
      <c r="B753" s="531"/>
      <c r="C753" s="333"/>
      <c r="D753" s="333"/>
      <c r="E753" s="333"/>
      <c r="F753" s="333"/>
      <c r="G753" s="333"/>
      <c r="H753" s="333"/>
      <c r="I753" s="333"/>
      <c r="J753" s="333"/>
      <c r="K753" s="333"/>
      <c r="L753" s="333"/>
      <c r="M753" s="333"/>
    </row>
    <row r="754" spans="2:13">
      <c r="B754" s="531"/>
      <c r="C754" s="333"/>
      <c r="D754" s="333"/>
      <c r="E754" s="333"/>
      <c r="F754" s="333"/>
      <c r="G754" s="333"/>
      <c r="H754" s="333"/>
      <c r="I754" s="333"/>
      <c r="J754" s="333"/>
      <c r="K754" s="333"/>
      <c r="L754" s="333"/>
      <c r="M754" s="333"/>
    </row>
    <row r="755" spans="2:13">
      <c r="B755" s="531"/>
      <c r="C755" s="333"/>
      <c r="D755" s="333"/>
      <c r="E755" s="333"/>
      <c r="F755" s="333"/>
      <c r="G755" s="333"/>
      <c r="H755" s="333"/>
      <c r="I755" s="333"/>
      <c r="J755" s="333"/>
      <c r="K755" s="333"/>
      <c r="L755" s="333"/>
      <c r="M755" s="333"/>
    </row>
    <row r="756" spans="2:13">
      <c r="B756" s="531"/>
      <c r="C756" s="333"/>
      <c r="D756" s="333"/>
      <c r="E756" s="333"/>
      <c r="F756" s="333"/>
      <c r="G756" s="333"/>
      <c r="H756" s="333"/>
      <c r="I756" s="333"/>
      <c r="J756" s="333"/>
      <c r="K756" s="333"/>
      <c r="L756" s="333"/>
      <c r="M756" s="333"/>
    </row>
    <row r="757" spans="2:13">
      <c r="B757" s="531"/>
      <c r="C757" s="333"/>
      <c r="D757" s="333"/>
      <c r="E757" s="333"/>
      <c r="F757" s="333"/>
      <c r="G757" s="333"/>
      <c r="H757" s="333"/>
      <c r="I757" s="333"/>
      <c r="J757" s="333"/>
      <c r="K757" s="333"/>
      <c r="L757" s="333"/>
      <c r="M757" s="333"/>
    </row>
    <row r="758" spans="2:13">
      <c r="B758" s="531"/>
      <c r="C758" s="333"/>
      <c r="D758" s="333"/>
      <c r="E758" s="333"/>
      <c r="F758" s="333"/>
      <c r="G758" s="333"/>
      <c r="H758" s="333"/>
      <c r="I758" s="333"/>
      <c r="J758" s="333"/>
      <c r="K758" s="333"/>
      <c r="L758" s="333"/>
      <c r="M758" s="333"/>
    </row>
    <row r="759" spans="2:13">
      <c r="B759" s="531"/>
      <c r="C759" s="333"/>
      <c r="D759" s="333"/>
      <c r="E759" s="333"/>
      <c r="F759" s="333"/>
      <c r="G759" s="333"/>
      <c r="H759" s="333"/>
      <c r="I759" s="333"/>
      <c r="J759" s="333"/>
      <c r="K759" s="333"/>
      <c r="L759" s="333"/>
      <c r="M759" s="333"/>
    </row>
    <row r="760" spans="2:13">
      <c r="B760" s="531"/>
      <c r="C760" s="333"/>
      <c r="D760" s="333"/>
      <c r="E760" s="333"/>
      <c r="F760" s="333"/>
      <c r="G760" s="333"/>
      <c r="H760" s="333"/>
      <c r="I760" s="333"/>
      <c r="J760" s="333"/>
      <c r="K760" s="333"/>
      <c r="L760" s="333"/>
      <c r="M760" s="333"/>
    </row>
    <row r="761" spans="2:13">
      <c r="B761" s="531"/>
      <c r="C761" s="333"/>
      <c r="D761" s="333"/>
      <c r="E761" s="333"/>
      <c r="F761" s="333"/>
      <c r="G761" s="333"/>
      <c r="H761" s="333"/>
      <c r="I761" s="333"/>
      <c r="J761" s="333"/>
      <c r="K761" s="333"/>
      <c r="L761" s="333"/>
      <c r="M761" s="333"/>
    </row>
    <row r="762" spans="2:13">
      <c r="B762" s="531"/>
      <c r="C762" s="333"/>
      <c r="D762" s="333"/>
      <c r="E762" s="333"/>
      <c r="F762" s="333"/>
      <c r="G762" s="333"/>
      <c r="H762" s="333"/>
      <c r="I762" s="333"/>
      <c r="J762" s="333"/>
      <c r="K762" s="333"/>
      <c r="L762" s="333"/>
      <c r="M762" s="333"/>
    </row>
    <row r="763" spans="2:13">
      <c r="B763" s="531"/>
      <c r="C763" s="333"/>
      <c r="D763" s="333"/>
      <c r="E763" s="333"/>
      <c r="F763" s="333"/>
      <c r="G763" s="333"/>
      <c r="H763" s="333"/>
      <c r="I763" s="333"/>
      <c r="J763" s="333"/>
      <c r="K763" s="333"/>
      <c r="L763" s="333"/>
      <c r="M763" s="333"/>
    </row>
    <row r="764" spans="2:13">
      <c r="B764" s="531"/>
      <c r="C764" s="333"/>
      <c r="D764" s="333"/>
      <c r="E764" s="333"/>
      <c r="F764" s="333"/>
      <c r="G764" s="333"/>
      <c r="H764" s="333"/>
      <c r="I764" s="333"/>
      <c r="J764" s="333"/>
      <c r="K764" s="333"/>
      <c r="L764" s="333"/>
      <c r="M764" s="333"/>
    </row>
    <row r="765" spans="2:13">
      <c r="B765" s="531"/>
      <c r="C765" s="333"/>
      <c r="D765" s="333"/>
      <c r="E765" s="333"/>
      <c r="F765" s="333"/>
      <c r="G765" s="333"/>
      <c r="H765" s="333"/>
      <c r="I765" s="333"/>
      <c r="J765" s="333"/>
      <c r="K765" s="333"/>
      <c r="L765" s="333"/>
      <c r="M765" s="333"/>
    </row>
    <row r="766" spans="2:13">
      <c r="B766" s="531"/>
      <c r="C766" s="333"/>
      <c r="D766" s="333"/>
      <c r="E766" s="333"/>
      <c r="F766" s="333"/>
      <c r="G766" s="333"/>
      <c r="H766" s="333"/>
      <c r="I766" s="333"/>
      <c r="J766" s="333"/>
      <c r="K766" s="333"/>
      <c r="L766" s="333"/>
      <c r="M766" s="333"/>
    </row>
    <row r="767" spans="2:13">
      <c r="B767" s="531"/>
      <c r="C767" s="333"/>
      <c r="D767" s="333"/>
      <c r="E767" s="333"/>
      <c r="F767" s="333"/>
      <c r="G767" s="333"/>
      <c r="H767" s="333"/>
      <c r="I767" s="333"/>
      <c r="J767" s="333"/>
      <c r="K767" s="333"/>
      <c r="L767" s="333"/>
      <c r="M767" s="333"/>
    </row>
    <row r="768" spans="2:13">
      <c r="B768" s="531"/>
      <c r="C768" s="333"/>
      <c r="D768" s="333"/>
      <c r="E768" s="333"/>
      <c r="F768" s="333"/>
      <c r="G768" s="333"/>
      <c r="H768" s="333"/>
      <c r="I768" s="333"/>
      <c r="J768" s="333"/>
      <c r="K768" s="333"/>
      <c r="L768" s="333"/>
      <c r="M768" s="333"/>
    </row>
    <row r="769" spans="2:13">
      <c r="B769" s="531"/>
      <c r="C769" s="333"/>
      <c r="D769" s="333"/>
      <c r="E769" s="333"/>
      <c r="F769" s="333"/>
      <c r="G769" s="333"/>
      <c r="H769" s="333"/>
      <c r="I769" s="333"/>
      <c r="J769" s="333"/>
      <c r="K769" s="333"/>
      <c r="L769" s="333"/>
      <c r="M769" s="333"/>
    </row>
    <row r="770" spans="2:13">
      <c r="B770" s="531"/>
      <c r="C770" s="333"/>
      <c r="D770" s="333"/>
      <c r="E770" s="333"/>
      <c r="F770" s="333"/>
      <c r="G770" s="333"/>
      <c r="H770" s="333"/>
      <c r="I770" s="333"/>
      <c r="J770" s="333"/>
      <c r="K770" s="333"/>
      <c r="L770" s="333"/>
      <c r="M770" s="333"/>
    </row>
    <row r="771" spans="2:13">
      <c r="B771" s="531"/>
      <c r="C771" s="333"/>
      <c r="D771" s="333"/>
      <c r="E771" s="333"/>
      <c r="F771" s="333"/>
      <c r="G771" s="333"/>
      <c r="H771" s="333"/>
      <c r="I771" s="333"/>
      <c r="J771" s="333"/>
      <c r="K771" s="333"/>
      <c r="L771" s="333"/>
      <c r="M771" s="333"/>
    </row>
    <row r="772" spans="2:13">
      <c r="B772" s="531"/>
      <c r="C772" s="333"/>
      <c r="D772" s="333"/>
      <c r="E772" s="333"/>
      <c r="F772" s="333"/>
      <c r="G772" s="333"/>
      <c r="H772" s="333"/>
      <c r="I772" s="333"/>
      <c r="J772" s="333"/>
      <c r="K772" s="333"/>
      <c r="L772" s="333"/>
      <c r="M772" s="333"/>
    </row>
    <row r="773" spans="2:13">
      <c r="B773" s="531"/>
      <c r="C773" s="333"/>
      <c r="D773" s="333"/>
      <c r="E773" s="333"/>
      <c r="F773" s="333"/>
      <c r="G773" s="333"/>
      <c r="H773" s="333"/>
      <c r="I773" s="333"/>
      <c r="J773" s="333"/>
      <c r="K773" s="333"/>
      <c r="L773" s="333"/>
      <c r="M773" s="333"/>
    </row>
    <row r="774" spans="2:13">
      <c r="B774" s="531"/>
      <c r="C774" s="333"/>
      <c r="D774" s="333"/>
      <c r="E774" s="333"/>
      <c r="F774" s="333"/>
      <c r="G774" s="333"/>
      <c r="H774" s="333"/>
      <c r="I774" s="333"/>
      <c r="J774" s="333"/>
      <c r="K774" s="333"/>
      <c r="L774" s="333"/>
      <c r="M774" s="333"/>
    </row>
    <row r="775" spans="2:13">
      <c r="B775" s="531"/>
      <c r="C775" s="333"/>
      <c r="D775" s="333"/>
      <c r="E775" s="333"/>
      <c r="F775" s="333"/>
      <c r="G775" s="333"/>
      <c r="H775" s="333"/>
      <c r="I775" s="333"/>
      <c r="J775" s="333"/>
      <c r="K775" s="333"/>
      <c r="L775" s="333"/>
      <c r="M775" s="333"/>
    </row>
    <row r="776" spans="2:13">
      <c r="B776" s="531"/>
      <c r="C776" s="333"/>
      <c r="D776" s="333"/>
      <c r="E776" s="333"/>
      <c r="F776" s="333"/>
      <c r="G776" s="333"/>
      <c r="H776" s="333"/>
      <c r="I776" s="333"/>
      <c r="J776" s="333"/>
      <c r="K776" s="333"/>
      <c r="L776" s="333"/>
      <c r="M776" s="333"/>
    </row>
    <row r="777" spans="2:13">
      <c r="B777" s="531"/>
      <c r="C777" s="333"/>
      <c r="D777" s="333"/>
      <c r="E777" s="333"/>
      <c r="F777" s="333"/>
      <c r="G777" s="333"/>
      <c r="H777" s="333"/>
      <c r="I777" s="333"/>
      <c r="J777" s="333"/>
      <c r="K777" s="333"/>
      <c r="L777" s="333"/>
      <c r="M777" s="333"/>
    </row>
    <row r="778" spans="2:13">
      <c r="B778" s="531"/>
      <c r="C778" s="333"/>
      <c r="D778" s="333"/>
      <c r="E778" s="333"/>
      <c r="F778" s="333"/>
      <c r="G778" s="333"/>
      <c r="H778" s="333"/>
      <c r="I778" s="333"/>
      <c r="J778" s="333"/>
      <c r="K778" s="333"/>
      <c r="L778" s="333"/>
      <c r="M778" s="333"/>
    </row>
    <row r="779" spans="2:13">
      <c r="B779" s="531"/>
      <c r="C779" s="333"/>
      <c r="D779" s="333"/>
      <c r="E779" s="333"/>
      <c r="F779" s="333"/>
      <c r="G779" s="333"/>
      <c r="H779" s="333"/>
      <c r="I779" s="333"/>
      <c r="J779" s="333"/>
      <c r="K779" s="333"/>
      <c r="L779" s="333"/>
      <c r="M779" s="333"/>
    </row>
    <row r="780" spans="2:13">
      <c r="B780" s="531"/>
      <c r="C780" s="333"/>
      <c r="D780" s="333"/>
      <c r="E780" s="333"/>
      <c r="F780" s="333"/>
      <c r="G780" s="333"/>
      <c r="H780" s="333"/>
      <c r="I780" s="333"/>
      <c r="J780" s="333"/>
      <c r="K780" s="333"/>
      <c r="L780" s="333"/>
      <c r="M780" s="333"/>
    </row>
    <row r="781" spans="2:13">
      <c r="B781" s="531"/>
      <c r="C781" s="333"/>
      <c r="D781" s="333"/>
      <c r="E781" s="333"/>
      <c r="F781" s="333"/>
      <c r="G781" s="333"/>
      <c r="H781" s="333"/>
      <c r="I781" s="333"/>
      <c r="J781" s="333"/>
      <c r="K781" s="333"/>
      <c r="L781" s="333"/>
      <c r="M781" s="333"/>
    </row>
    <row r="782" spans="2:13">
      <c r="B782" s="531"/>
      <c r="C782" s="333"/>
      <c r="D782" s="333"/>
      <c r="E782" s="333"/>
      <c r="F782" s="333"/>
      <c r="G782" s="333"/>
      <c r="H782" s="333"/>
      <c r="I782" s="333"/>
      <c r="J782" s="333"/>
      <c r="K782" s="333"/>
      <c r="L782" s="333"/>
      <c r="M782" s="333"/>
    </row>
    <row r="783" spans="2:13">
      <c r="B783" s="531"/>
      <c r="C783" s="333"/>
      <c r="D783" s="333"/>
      <c r="E783" s="333"/>
      <c r="F783" s="333"/>
      <c r="G783" s="333"/>
      <c r="H783" s="333"/>
      <c r="I783" s="333"/>
      <c r="J783" s="333"/>
      <c r="K783" s="333"/>
      <c r="L783" s="333"/>
      <c r="M783" s="333"/>
    </row>
    <row r="784" spans="2:13">
      <c r="B784" s="531"/>
      <c r="C784" s="333"/>
      <c r="D784" s="333"/>
      <c r="E784" s="333"/>
      <c r="F784" s="333"/>
      <c r="G784" s="333"/>
      <c r="H784" s="333"/>
      <c r="I784" s="333"/>
      <c r="J784" s="333"/>
      <c r="K784" s="333"/>
      <c r="L784" s="333"/>
      <c r="M784" s="333"/>
    </row>
    <row r="785" spans="2:13">
      <c r="B785" s="531"/>
      <c r="C785" s="333"/>
      <c r="D785" s="333"/>
      <c r="E785" s="333"/>
      <c r="F785" s="333"/>
      <c r="G785" s="333"/>
      <c r="H785" s="333"/>
      <c r="I785" s="333"/>
      <c r="J785" s="333"/>
      <c r="K785" s="333"/>
      <c r="L785" s="333"/>
      <c r="M785" s="333"/>
    </row>
    <row r="786" spans="2:13">
      <c r="B786" s="531"/>
      <c r="C786" s="333"/>
      <c r="D786" s="333"/>
      <c r="E786" s="333"/>
      <c r="F786" s="333"/>
      <c r="G786" s="333"/>
      <c r="H786" s="333"/>
      <c r="I786" s="333"/>
      <c r="J786" s="333"/>
      <c r="K786" s="333"/>
      <c r="L786" s="333"/>
      <c r="M786" s="333"/>
    </row>
    <row r="787" spans="2:13">
      <c r="B787" s="531"/>
      <c r="C787" s="333"/>
      <c r="D787" s="333"/>
      <c r="E787" s="333"/>
      <c r="F787" s="333"/>
      <c r="G787" s="333"/>
      <c r="H787" s="333"/>
      <c r="I787" s="333"/>
      <c r="J787" s="333"/>
      <c r="K787" s="333"/>
      <c r="L787" s="333"/>
      <c r="M787" s="333"/>
    </row>
    <row r="788" spans="2:13">
      <c r="B788" s="531"/>
      <c r="C788" s="333"/>
      <c r="D788" s="333"/>
      <c r="E788" s="333"/>
      <c r="F788" s="333"/>
      <c r="G788" s="333"/>
      <c r="H788" s="333"/>
      <c r="I788" s="333"/>
      <c r="J788" s="333"/>
      <c r="K788" s="333"/>
      <c r="L788" s="333"/>
      <c r="M788" s="333"/>
    </row>
    <row r="789" spans="2:13">
      <c r="B789" s="531"/>
      <c r="C789" s="333"/>
      <c r="D789" s="333"/>
      <c r="E789" s="333"/>
      <c r="F789" s="333"/>
      <c r="G789" s="333"/>
      <c r="H789" s="333"/>
      <c r="I789" s="333"/>
      <c r="J789" s="333"/>
      <c r="K789" s="333"/>
      <c r="L789" s="333"/>
      <c r="M789" s="333"/>
    </row>
    <row r="790" spans="2:13">
      <c r="B790" s="531"/>
      <c r="C790" s="333"/>
      <c r="D790" s="333"/>
      <c r="E790" s="333"/>
      <c r="F790" s="333"/>
      <c r="G790" s="333"/>
      <c r="H790" s="333"/>
      <c r="I790" s="333"/>
      <c r="J790" s="333"/>
      <c r="K790" s="333"/>
      <c r="L790" s="333"/>
      <c r="M790" s="333"/>
    </row>
    <row r="791" spans="2:13">
      <c r="B791" s="531"/>
      <c r="C791" s="333"/>
      <c r="D791" s="333"/>
      <c r="E791" s="333"/>
      <c r="F791" s="333"/>
      <c r="G791" s="333"/>
      <c r="H791" s="333"/>
      <c r="I791" s="333"/>
      <c r="J791" s="333"/>
      <c r="K791" s="333"/>
      <c r="L791" s="333"/>
      <c r="M791" s="333"/>
    </row>
    <row r="792" spans="2:13">
      <c r="B792" s="531"/>
      <c r="C792" s="333"/>
      <c r="D792" s="333"/>
      <c r="E792" s="333"/>
      <c r="F792" s="333"/>
      <c r="G792" s="333"/>
      <c r="H792" s="333"/>
      <c r="I792" s="333"/>
      <c r="J792" s="333"/>
      <c r="K792" s="333"/>
      <c r="L792" s="333"/>
      <c r="M792" s="333"/>
    </row>
    <row r="793" spans="2:13">
      <c r="B793" s="531"/>
      <c r="C793" s="333"/>
      <c r="D793" s="333"/>
      <c r="E793" s="333"/>
      <c r="F793" s="333"/>
      <c r="G793" s="333"/>
      <c r="H793" s="333"/>
      <c r="I793" s="333"/>
      <c r="J793" s="333"/>
      <c r="K793" s="333"/>
      <c r="L793" s="333"/>
      <c r="M793" s="333"/>
    </row>
    <row r="794" spans="2:13">
      <c r="B794" s="531"/>
      <c r="C794" s="333"/>
      <c r="D794" s="333"/>
      <c r="E794" s="333"/>
      <c r="F794" s="333"/>
      <c r="G794" s="333"/>
      <c r="H794" s="333"/>
      <c r="I794" s="333"/>
      <c r="J794" s="333"/>
      <c r="K794" s="333"/>
      <c r="L794" s="333"/>
      <c r="M794" s="333"/>
    </row>
    <row r="795" spans="2:13">
      <c r="B795" s="531"/>
      <c r="C795" s="333"/>
      <c r="D795" s="333"/>
      <c r="E795" s="333"/>
      <c r="F795" s="333"/>
      <c r="G795" s="333"/>
      <c r="H795" s="333"/>
      <c r="I795" s="333"/>
      <c r="J795" s="333"/>
      <c r="K795" s="333"/>
      <c r="L795" s="333"/>
      <c r="M795" s="333"/>
    </row>
    <row r="796" spans="2:13">
      <c r="B796" s="531"/>
      <c r="C796" s="333"/>
      <c r="D796" s="333"/>
      <c r="E796" s="333"/>
      <c r="F796" s="333"/>
      <c r="G796" s="333"/>
      <c r="H796" s="333"/>
      <c r="I796" s="333"/>
      <c r="J796" s="333"/>
      <c r="K796" s="333"/>
      <c r="L796" s="333"/>
      <c r="M796" s="333"/>
    </row>
    <row r="797" spans="2:13">
      <c r="B797" s="531"/>
      <c r="C797" s="333"/>
      <c r="D797" s="333"/>
      <c r="E797" s="333"/>
      <c r="F797" s="333"/>
      <c r="G797" s="333"/>
      <c r="H797" s="333"/>
      <c r="I797" s="333"/>
      <c r="J797" s="333"/>
      <c r="K797" s="333"/>
      <c r="L797" s="333"/>
      <c r="M797" s="333"/>
    </row>
    <row r="798" spans="2:13">
      <c r="B798" s="531"/>
      <c r="C798" s="333"/>
      <c r="D798" s="333"/>
      <c r="E798" s="333"/>
      <c r="F798" s="333"/>
      <c r="G798" s="333"/>
      <c r="H798" s="333"/>
      <c r="I798" s="333"/>
      <c r="J798" s="333"/>
      <c r="K798" s="333"/>
      <c r="L798" s="333"/>
      <c r="M798" s="333"/>
    </row>
    <row r="799" spans="2:13">
      <c r="B799" s="531"/>
      <c r="C799" s="333"/>
      <c r="D799" s="333"/>
      <c r="E799" s="333"/>
      <c r="F799" s="333"/>
      <c r="G799" s="333"/>
      <c r="H799" s="333"/>
      <c r="I799" s="333"/>
      <c r="J799" s="333"/>
      <c r="K799" s="333"/>
      <c r="L799" s="333"/>
      <c r="M799" s="333"/>
    </row>
    <row r="800" spans="2:13">
      <c r="B800" s="531"/>
      <c r="C800" s="333"/>
      <c r="D800" s="333"/>
      <c r="E800" s="333"/>
      <c r="F800" s="333"/>
      <c r="G800" s="333"/>
      <c r="H800" s="333"/>
      <c r="I800" s="333"/>
      <c r="J800" s="333"/>
      <c r="K800" s="333"/>
      <c r="L800" s="333"/>
      <c r="M800" s="333"/>
    </row>
    <row r="801" spans="2:13">
      <c r="B801" s="531"/>
      <c r="C801" s="333"/>
      <c r="D801" s="333"/>
      <c r="E801" s="333"/>
      <c r="F801" s="333"/>
      <c r="G801" s="333"/>
      <c r="H801" s="333"/>
      <c r="I801" s="333"/>
      <c r="J801" s="333"/>
      <c r="K801" s="333"/>
      <c r="L801" s="333"/>
      <c r="M801" s="333"/>
    </row>
    <row r="802" spans="2:13">
      <c r="B802" s="531"/>
      <c r="C802" s="333"/>
      <c r="D802" s="333"/>
      <c r="E802" s="333"/>
      <c r="F802" s="333"/>
      <c r="G802" s="333"/>
      <c r="H802" s="333"/>
      <c r="I802" s="333"/>
      <c r="J802" s="333"/>
      <c r="K802" s="333"/>
      <c r="L802" s="333"/>
      <c r="M802" s="333"/>
    </row>
    <row r="803" spans="2:13">
      <c r="B803" s="531"/>
      <c r="C803" s="333"/>
      <c r="D803" s="333"/>
      <c r="E803" s="333"/>
      <c r="F803" s="333"/>
      <c r="G803" s="333"/>
      <c r="H803" s="333"/>
      <c r="I803" s="333"/>
      <c r="J803" s="333"/>
      <c r="K803" s="333"/>
      <c r="L803" s="333"/>
      <c r="M803" s="333"/>
    </row>
    <row r="804" spans="2:13">
      <c r="B804" s="531"/>
      <c r="C804" s="333"/>
      <c r="D804" s="333"/>
      <c r="E804" s="333"/>
      <c r="F804" s="333"/>
      <c r="G804" s="333"/>
      <c r="H804" s="333"/>
      <c r="I804" s="333"/>
      <c r="J804" s="333"/>
      <c r="K804" s="333"/>
      <c r="L804" s="333"/>
      <c r="M804" s="333"/>
    </row>
    <row r="805" spans="2:13">
      <c r="B805" s="531"/>
      <c r="C805" s="333"/>
      <c r="D805" s="333"/>
      <c r="E805" s="333"/>
      <c r="F805" s="333"/>
      <c r="G805" s="333"/>
      <c r="H805" s="333"/>
      <c r="I805" s="333"/>
      <c r="J805" s="333"/>
      <c r="K805" s="333"/>
      <c r="L805" s="333"/>
      <c r="M805" s="333"/>
    </row>
    <row r="806" spans="2:13">
      <c r="B806" s="531"/>
      <c r="C806" s="333"/>
      <c r="D806" s="333"/>
      <c r="E806" s="333"/>
      <c r="F806" s="333"/>
      <c r="G806" s="333"/>
      <c r="H806" s="333"/>
      <c r="I806" s="333"/>
      <c r="J806" s="333"/>
      <c r="K806" s="333"/>
      <c r="L806" s="333"/>
      <c r="M806" s="333"/>
    </row>
    <row r="807" spans="2:13">
      <c r="B807" s="531"/>
      <c r="C807" s="333"/>
      <c r="D807" s="333"/>
      <c r="E807" s="333"/>
      <c r="F807" s="333"/>
      <c r="G807" s="333"/>
      <c r="H807" s="333"/>
      <c r="I807" s="333"/>
      <c r="J807" s="333"/>
      <c r="K807" s="333"/>
      <c r="L807" s="333"/>
      <c r="M807" s="333"/>
    </row>
    <row r="808" spans="2:13">
      <c r="B808" s="531"/>
      <c r="C808" s="333"/>
      <c r="D808" s="333"/>
      <c r="E808" s="333"/>
      <c r="F808" s="333"/>
      <c r="G808" s="333"/>
      <c r="H808" s="333"/>
      <c r="I808" s="333"/>
      <c r="J808" s="333"/>
      <c r="K808" s="333"/>
      <c r="L808" s="333"/>
      <c r="M808" s="333"/>
    </row>
    <row r="809" spans="2:13">
      <c r="B809" s="531"/>
      <c r="C809" s="333"/>
      <c r="D809" s="333"/>
      <c r="E809" s="333"/>
      <c r="F809" s="333"/>
      <c r="G809" s="333"/>
      <c r="H809" s="333"/>
      <c r="I809" s="333"/>
      <c r="J809" s="333"/>
      <c r="K809" s="333"/>
      <c r="L809" s="333"/>
      <c r="M809" s="333"/>
    </row>
    <row r="810" spans="2:13">
      <c r="B810" s="531"/>
      <c r="C810" s="333"/>
      <c r="D810" s="333"/>
      <c r="E810" s="333"/>
      <c r="F810" s="333"/>
      <c r="G810" s="333"/>
      <c r="H810" s="333"/>
      <c r="I810" s="333"/>
      <c r="J810" s="333"/>
      <c r="K810" s="333"/>
      <c r="L810" s="333"/>
      <c r="M810" s="333"/>
    </row>
    <row r="811" spans="2:13">
      <c r="B811" s="531"/>
      <c r="C811" s="333"/>
      <c r="D811" s="333"/>
      <c r="E811" s="333"/>
      <c r="F811" s="333"/>
      <c r="G811" s="333"/>
      <c r="H811" s="333"/>
      <c r="I811" s="333"/>
      <c r="J811" s="333"/>
      <c r="K811" s="333"/>
      <c r="L811" s="333"/>
      <c r="M811" s="333"/>
    </row>
    <row r="812" spans="2:13">
      <c r="B812" s="531"/>
      <c r="C812" s="333"/>
      <c r="D812" s="333"/>
      <c r="E812" s="333"/>
      <c r="F812" s="333"/>
      <c r="G812" s="333"/>
      <c r="H812" s="333"/>
      <c r="I812" s="333"/>
      <c r="J812" s="333"/>
      <c r="K812" s="333"/>
      <c r="L812" s="333"/>
      <c r="M812" s="333"/>
    </row>
    <row r="813" spans="2:13">
      <c r="B813" s="531"/>
      <c r="C813" s="333"/>
      <c r="D813" s="333"/>
      <c r="E813" s="333"/>
      <c r="F813" s="333"/>
      <c r="G813" s="333"/>
      <c r="H813" s="333"/>
      <c r="I813" s="333"/>
      <c r="J813" s="333"/>
      <c r="K813" s="333"/>
      <c r="L813" s="333"/>
      <c r="M813" s="333"/>
    </row>
    <row r="814" spans="2:13">
      <c r="B814" s="531"/>
      <c r="C814" s="333"/>
      <c r="D814" s="333"/>
      <c r="E814" s="333"/>
      <c r="F814" s="333"/>
      <c r="G814" s="333"/>
      <c r="H814" s="333"/>
      <c r="I814" s="333"/>
      <c r="J814" s="333"/>
      <c r="K814" s="333"/>
      <c r="L814" s="333"/>
      <c r="M814" s="333"/>
    </row>
    <row r="815" spans="2:13">
      <c r="B815" s="531"/>
      <c r="C815" s="333"/>
      <c r="D815" s="333"/>
      <c r="E815" s="333"/>
      <c r="F815" s="333"/>
      <c r="G815" s="333"/>
      <c r="H815" s="333"/>
      <c r="I815" s="333"/>
      <c r="J815" s="333"/>
      <c r="K815" s="333"/>
      <c r="L815" s="333"/>
      <c r="M815" s="333"/>
    </row>
    <row r="816" spans="2:13">
      <c r="B816" s="531"/>
      <c r="C816" s="333"/>
      <c r="D816" s="333"/>
      <c r="E816" s="333"/>
      <c r="F816" s="333"/>
      <c r="G816" s="333"/>
      <c r="H816" s="333"/>
      <c r="I816" s="333"/>
      <c r="J816" s="333"/>
      <c r="K816" s="333"/>
      <c r="L816" s="333"/>
      <c r="M816" s="333"/>
    </row>
    <row r="817" spans="2:13">
      <c r="B817" s="531"/>
      <c r="C817" s="333"/>
      <c r="D817" s="333"/>
      <c r="E817" s="333"/>
      <c r="F817" s="333"/>
      <c r="G817" s="333"/>
      <c r="H817" s="333"/>
      <c r="I817" s="333"/>
      <c r="J817" s="333"/>
      <c r="K817" s="333"/>
      <c r="L817" s="333"/>
      <c r="M817" s="333"/>
    </row>
    <row r="818" spans="2:13">
      <c r="B818" s="531"/>
      <c r="C818" s="333"/>
      <c r="D818" s="333"/>
      <c r="E818" s="333"/>
      <c r="F818" s="333"/>
      <c r="G818" s="333"/>
      <c r="H818" s="333"/>
      <c r="I818" s="333"/>
      <c r="J818" s="333"/>
      <c r="K818" s="333"/>
      <c r="L818" s="333"/>
      <c r="M818" s="333"/>
    </row>
    <row r="819" spans="2:13">
      <c r="B819" s="531"/>
      <c r="C819" s="333"/>
      <c r="D819" s="333"/>
      <c r="E819" s="333"/>
      <c r="F819" s="333"/>
      <c r="G819" s="333"/>
      <c r="H819" s="333"/>
      <c r="I819" s="333"/>
      <c r="J819" s="333"/>
      <c r="K819" s="333"/>
      <c r="L819" s="333"/>
      <c r="M819" s="333"/>
    </row>
    <row r="820" spans="2:13">
      <c r="B820" s="531"/>
      <c r="C820" s="333"/>
      <c r="D820" s="333"/>
      <c r="E820" s="333"/>
      <c r="F820" s="333"/>
      <c r="G820" s="333"/>
      <c r="H820" s="333"/>
      <c r="I820" s="333"/>
      <c r="J820" s="333"/>
      <c r="K820" s="333"/>
      <c r="L820" s="333"/>
      <c r="M820" s="333"/>
    </row>
    <row r="821" spans="2:13">
      <c r="B821" s="531"/>
      <c r="C821" s="333"/>
      <c r="D821" s="333"/>
      <c r="E821" s="333"/>
      <c r="F821" s="333"/>
      <c r="G821" s="333"/>
      <c r="H821" s="333"/>
      <c r="I821" s="333"/>
      <c r="J821" s="333"/>
      <c r="K821" s="333"/>
      <c r="L821" s="333"/>
      <c r="M821" s="333"/>
    </row>
    <row r="822" spans="2:13">
      <c r="B822" s="531"/>
      <c r="C822" s="333"/>
      <c r="D822" s="333"/>
      <c r="E822" s="333"/>
      <c r="F822" s="333"/>
      <c r="G822" s="333"/>
      <c r="H822" s="333"/>
      <c r="I822" s="333"/>
      <c r="J822" s="333"/>
      <c r="K822" s="333"/>
      <c r="L822" s="333"/>
      <c r="M822" s="333"/>
    </row>
    <row r="823" spans="2:13">
      <c r="B823" s="531"/>
      <c r="C823" s="333"/>
      <c r="D823" s="333"/>
      <c r="E823" s="333"/>
      <c r="F823" s="333"/>
      <c r="G823" s="333"/>
      <c r="H823" s="333"/>
      <c r="I823" s="333"/>
      <c r="J823" s="333"/>
      <c r="K823" s="333"/>
      <c r="L823" s="333"/>
      <c r="M823" s="333"/>
    </row>
    <row r="824" spans="2:13">
      <c r="B824" s="531"/>
      <c r="C824" s="333"/>
      <c r="D824" s="333"/>
      <c r="E824" s="333"/>
      <c r="F824" s="333"/>
      <c r="G824" s="333"/>
      <c r="H824" s="333"/>
      <c r="I824" s="333"/>
      <c r="J824" s="333"/>
      <c r="K824" s="333"/>
      <c r="L824" s="333"/>
      <c r="M824" s="333"/>
    </row>
    <row r="825" spans="2:13">
      <c r="B825" s="531"/>
      <c r="C825" s="333"/>
      <c r="D825" s="333"/>
      <c r="E825" s="333"/>
      <c r="F825" s="333"/>
      <c r="G825" s="333"/>
      <c r="H825" s="333"/>
      <c r="I825" s="333"/>
      <c r="J825" s="333"/>
      <c r="K825" s="333"/>
      <c r="L825" s="333"/>
      <c r="M825" s="333"/>
    </row>
    <row r="826" spans="2:13">
      <c r="B826" s="531"/>
      <c r="C826" s="333"/>
      <c r="D826" s="333"/>
      <c r="E826" s="333"/>
      <c r="F826" s="333"/>
      <c r="G826" s="333"/>
      <c r="H826" s="333"/>
      <c r="I826" s="333"/>
      <c r="J826" s="333"/>
      <c r="K826" s="333"/>
      <c r="L826" s="333"/>
      <c r="M826" s="333"/>
    </row>
    <row r="827" spans="2:13">
      <c r="B827" s="531"/>
      <c r="C827" s="333"/>
      <c r="D827" s="333"/>
      <c r="E827" s="333"/>
      <c r="F827" s="333"/>
      <c r="G827" s="333"/>
      <c r="H827" s="333"/>
      <c r="I827" s="333"/>
      <c r="J827" s="333"/>
      <c r="K827" s="333"/>
      <c r="L827" s="333"/>
      <c r="M827" s="333"/>
    </row>
    <row r="828" spans="2:13">
      <c r="B828" s="531"/>
      <c r="C828" s="333"/>
      <c r="D828" s="333"/>
      <c r="E828" s="333"/>
      <c r="F828" s="333"/>
      <c r="G828" s="333"/>
      <c r="H828" s="333"/>
      <c r="I828" s="333"/>
      <c r="J828" s="333"/>
      <c r="K828" s="333"/>
      <c r="L828" s="333"/>
      <c r="M828" s="333"/>
    </row>
    <row r="829" spans="2:13">
      <c r="B829" s="531"/>
      <c r="C829" s="333"/>
      <c r="D829" s="333"/>
      <c r="E829" s="333"/>
      <c r="F829" s="333"/>
      <c r="G829" s="333"/>
      <c r="H829" s="333"/>
      <c r="I829" s="333"/>
      <c r="J829" s="333"/>
      <c r="K829" s="333"/>
      <c r="L829" s="333"/>
      <c r="M829" s="333"/>
    </row>
    <row r="830" spans="2:13">
      <c r="B830" s="531"/>
      <c r="C830" s="333"/>
      <c r="D830" s="333"/>
      <c r="E830" s="333"/>
      <c r="F830" s="333"/>
      <c r="G830" s="333"/>
      <c r="H830" s="333"/>
      <c r="I830" s="333"/>
      <c r="J830" s="333"/>
      <c r="K830" s="333"/>
      <c r="L830" s="333"/>
      <c r="M830" s="333"/>
    </row>
    <row r="831" spans="2:13">
      <c r="B831" s="531"/>
      <c r="C831" s="333"/>
      <c r="D831" s="333"/>
      <c r="E831" s="333"/>
      <c r="F831" s="333"/>
      <c r="G831" s="333"/>
      <c r="H831" s="333"/>
      <c r="I831" s="333"/>
      <c r="J831" s="333"/>
      <c r="K831" s="333"/>
      <c r="L831" s="333"/>
      <c r="M831" s="333"/>
    </row>
    <row r="832" spans="2:13">
      <c r="B832" s="531"/>
      <c r="C832" s="333"/>
      <c r="D832" s="333"/>
      <c r="E832" s="333"/>
      <c r="F832" s="333"/>
      <c r="G832" s="333"/>
      <c r="H832" s="333"/>
      <c r="I832" s="333"/>
      <c r="J832" s="333"/>
      <c r="K832" s="333"/>
      <c r="L832" s="333"/>
      <c r="M832" s="333"/>
    </row>
    <row r="833" spans="2:13">
      <c r="B833" s="531"/>
      <c r="C833" s="333"/>
      <c r="D833" s="333"/>
      <c r="E833" s="333"/>
      <c r="F833" s="333"/>
      <c r="G833" s="333"/>
      <c r="H833" s="333"/>
      <c r="I833" s="333"/>
      <c r="J833" s="333"/>
      <c r="K833" s="333"/>
      <c r="L833" s="333"/>
      <c r="M833" s="333"/>
    </row>
    <row r="834" spans="2:13">
      <c r="B834" s="531"/>
      <c r="C834" s="333"/>
      <c r="D834" s="333"/>
      <c r="E834" s="333"/>
      <c r="F834" s="333"/>
      <c r="G834" s="333"/>
      <c r="H834" s="333"/>
      <c r="I834" s="333"/>
      <c r="J834" s="333"/>
      <c r="K834" s="333"/>
      <c r="L834" s="333"/>
      <c r="M834" s="333"/>
    </row>
    <row r="835" spans="2:13">
      <c r="B835" s="531"/>
      <c r="C835" s="333"/>
      <c r="D835" s="333"/>
      <c r="E835" s="333"/>
      <c r="F835" s="333"/>
      <c r="G835" s="333"/>
      <c r="H835" s="333"/>
      <c r="I835" s="333"/>
      <c r="J835" s="333"/>
      <c r="K835" s="333"/>
      <c r="L835" s="333"/>
      <c r="M835" s="333"/>
    </row>
    <row r="836" spans="2:13">
      <c r="B836" s="531"/>
      <c r="C836" s="333"/>
      <c r="D836" s="333"/>
      <c r="E836" s="333"/>
      <c r="F836" s="333"/>
      <c r="G836" s="333"/>
      <c r="H836" s="333"/>
      <c r="I836" s="333"/>
      <c r="J836" s="333"/>
      <c r="K836" s="333"/>
      <c r="L836" s="333"/>
      <c r="M836" s="333"/>
    </row>
    <row r="837" spans="2:13">
      <c r="B837" s="531"/>
      <c r="C837" s="333"/>
      <c r="D837" s="333"/>
      <c r="E837" s="333"/>
      <c r="F837" s="333"/>
      <c r="G837" s="333"/>
      <c r="H837" s="333"/>
      <c r="I837" s="333"/>
      <c r="J837" s="333"/>
      <c r="K837" s="333"/>
      <c r="L837" s="333"/>
      <c r="M837" s="333"/>
    </row>
    <row r="838" spans="2:13">
      <c r="B838" s="531"/>
      <c r="C838" s="333"/>
      <c r="D838" s="333"/>
      <c r="E838" s="333"/>
      <c r="F838" s="333"/>
      <c r="G838" s="333"/>
      <c r="H838" s="333"/>
      <c r="I838" s="333"/>
      <c r="J838" s="333"/>
      <c r="K838" s="333"/>
      <c r="L838" s="333"/>
      <c r="M838" s="333"/>
    </row>
    <row r="839" spans="2:13">
      <c r="B839" s="531"/>
      <c r="C839" s="333"/>
      <c r="D839" s="333"/>
      <c r="E839" s="333"/>
      <c r="F839" s="333"/>
      <c r="G839" s="333"/>
      <c r="H839" s="333"/>
      <c r="I839" s="333"/>
      <c r="J839" s="333"/>
      <c r="K839" s="333"/>
      <c r="L839" s="333"/>
      <c r="M839" s="333"/>
    </row>
    <row r="840" spans="2:13">
      <c r="B840" s="531"/>
      <c r="C840" s="333"/>
      <c r="D840" s="333"/>
      <c r="E840" s="333"/>
      <c r="F840" s="333"/>
      <c r="G840" s="333"/>
      <c r="H840" s="333"/>
      <c r="I840" s="333"/>
      <c r="J840" s="333"/>
      <c r="K840" s="333"/>
      <c r="L840" s="333"/>
      <c r="M840" s="333"/>
    </row>
    <row r="841" spans="2:13">
      <c r="B841" s="531"/>
      <c r="C841" s="333"/>
      <c r="D841" s="333"/>
      <c r="E841" s="333"/>
      <c r="F841" s="333"/>
      <c r="G841" s="333"/>
      <c r="H841" s="333"/>
      <c r="I841" s="333"/>
      <c r="J841" s="333"/>
      <c r="K841" s="333"/>
      <c r="L841" s="333"/>
      <c r="M841" s="333"/>
    </row>
    <row r="842" spans="2:13">
      <c r="B842" s="531"/>
      <c r="C842" s="333"/>
      <c r="D842" s="333"/>
      <c r="E842" s="333"/>
      <c r="F842" s="333"/>
      <c r="G842" s="333"/>
      <c r="H842" s="333"/>
      <c r="I842" s="333"/>
      <c r="J842" s="333"/>
      <c r="K842" s="333"/>
      <c r="L842" s="333"/>
      <c r="M842" s="333"/>
    </row>
    <row r="843" spans="2:13">
      <c r="B843" s="531"/>
      <c r="C843" s="333"/>
      <c r="D843" s="333"/>
      <c r="E843" s="333"/>
      <c r="F843" s="333"/>
      <c r="G843" s="333"/>
      <c r="H843" s="333"/>
      <c r="I843" s="333"/>
      <c r="J843" s="333"/>
      <c r="K843" s="333"/>
      <c r="L843" s="333"/>
      <c r="M843" s="333"/>
    </row>
    <row r="844" spans="2:13">
      <c r="B844" s="531"/>
      <c r="C844" s="333"/>
      <c r="D844" s="333"/>
      <c r="E844" s="333"/>
      <c r="F844" s="333"/>
      <c r="G844" s="333"/>
      <c r="H844" s="333"/>
      <c r="I844" s="333"/>
      <c r="J844" s="333"/>
      <c r="K844" s="333"/>
      <c r="L844" s="333"/>
      <c r="M844" s="333"/>
    </row>
    <row r="845" spans="2:13">
      <c r="B845" s="531"/>
      <c r="C845" s="333"/>
      <c r="D845" s="333"/>
      <c r="E845" s="333"/>
      <c r="F845" s="333"/>
      <c r="G845" s="333"/>
      <c r="H845" s="333"/>
      <c r="I845" s="333"/>
      <c r="J845" s="333"/>
      <c r="K845" s="333"/>
      <c r="L845" s="333"/>
      <c r="M845" s="333"/>
    </row>
    <row r="846" spans="2:13">
      <c r="B846" s="531"/>
      <c r="C846" s="333"/>
      <c r="D846" s="333"/>
      <c r="E846" s="333"/>
      <c r="F846" s="333"/>
      <c r="G846" s="333"/>
      <c r="H846" s="333"/>
      <c r="I846" s="333"/>
      <c r="J846" s="333"/>
      <c r="K846" s="333"/>
      <c r="L846" s="333"/>
      <c r="M846" s="333"/>
    </row>
    <row r="847" spans="2:13">
      <c r="B847" s="531"/>
      <c r="C847" s="333"/>
      <c r="D847" s="333"/>
      <c r="E847" s="333"/>
      <c r="F847" s="333"/>
      <c r="G847" s="333"/>
      <c r="H847" s="333"/>
      <c r="I847" s="333"/>
      <c r="J847" s="333"/>
      <c r="K847" s="333"/>
      <c r="L847" s="333"/>
      <c r="M847" s="333"/>
    </row>
    <row r="848" spans="2:13">
      <c r="B848" s="531"/>
      <c r="C848" s="333"/>
      <c r="D848" s="333"/>
      <c r="E848" s="333"/>
      <c r="F848" s="333"/>
      <c r="G848" s="333"/>
      <c r="H848" s="333"/>
      <c r="I848" s="333"/>
      <c r="J848" s="333"/>
      <c r="K848" s="333"/>
      <c r="L848" s="333"/>
      <c r="M848" s="333"/>
    </row>
    <row r="849" spans="2:13">
      <c r="B849" s="531"/>
      <c r="C849" s="333"/>
      <c r="D849" s="333"/>
      <c r="E849" s="333"/>
      <c r="F849" s="333"/>
      <c r="G849" s="333"/>
      <c r="H849" s="333"/>
      <c r="I849" s="333"/>
      <c r="J849" s="333"/>
      <c r="K849" s="333"/>
      <c r="L849" s="333"/>
      <c r="M849" s="333"/>
    </row>
    <row r="850" spans="2:13">
      <c r="B850" s="531"/>
      <c r="C850" s="333"/>
      <c r="D850" s="333"/>
      <c r="E850" s="333"/>
      <c r="F850" s="333"/>
      <c r="G850" s="333"/>
      <c r="H850" s="333"/>
      <c r="I850" s="333"/>
      <c r="J850" s="333"/>
      <c r="K850" s="333"/>
      <c r="L850" s="333"/>
      <c r="M850" s="333"/>
    </row>
    <row r="851" spans="2:13">
      <c r="B851" s="531"/>
      <c r="C851" s="333"/>
      <c r="D851" s="333"/>
      <c r="E851" s="333"/>
      <c r="F851" s="333"/>
      <c r="G851" s="333"/>
      <c r="H851" s="333"/>
      <c r="I851" s="333"/>
      <c r="J851" s="333"/>
      <c r="K851" s="333"/>
      <c r="L851" s="333"/>
      <c r="M851" s="333"/>
    </row>
    <row r="852" spans="2:13">
      <c r="B852" s="531"/>
      <c r="C852" s="333"/>
      <c r="D852" s="333"/>
      <c r="E852" s="333"/>
      <c r="F852" s="333"/>
      <c r="G852" s="333"/>
      <c r="H852" s="333"/>
      <c r="I852" s="333"/>
      <c r="J852" s="333"/>
      <c r="K852" s="333"/>
      <c r="L852" s="333"/>
      <c r="M852" s="333"/>
    </row>
    <row r="853" spans="2:13">
      <c r="B853" s="531"/>
      <c r="C853" s="333"/>
      <c r="D853" s="333"/>
      <c r="E853" s="333"/>
      <c r="F853" s="333"/>
      <c r="G853" s="333"/>
      <c r="H853" s="333"/>
      <c r="I853" s="333"/>
      <c r="J853" s="333"/>
      <c r="K853" s="333"/>
      <c r="L853" s="333"/>
      <c r="M853" s="333"/>
    </row>
    <row r="854" spans="2:13">
      <c r="B854" s="531"/>
      <c r="C854" s="333"/>
      <c r="D854" s="333"/>
      <c r="E854" s="333"/>
      <c r="F854" s="333"/>
      <c r="G854" s="333"/>
      <c r="H854" s="333"/>
      <c r="I854" s="333"/>
      <c r="J854" s="333"/>
      <c r="K854" s="333"/>
      <c r="L854" s="333"/>
      <c r="M854" s="333"/>
    </row>
    <row r="855" spans="2:13">
      <c r="B855" s="531"/>
      <c r="C855" s="333"/>
      <c r="D855" s="333"/>
      <c r="E855" s="333"/>
      <c r="F855" s="333"/>
      <c r="G855" s="333"/>
      <c r="H855" s="333"/>
      <c r="I855" s="333"/>
      <c r="J855" s="333"/>
      <c r="K855" s="333"/>
      <c r="L855" s="333"/>
      <c r="M855" s="333"/>
    </row>
    <row r="856" spans="2:13">
      <c r="B856" s="531"/>
      <c r="C856" s="333"/>
      <c r="D856" s="333"/>
      <c r="E856" s="333"/>
      <c r="F856" s="333"/>
      <c r="G856" s="333"/>
      <c r="H856" s="333"/>
      <c r="I856" s="333"/>
      <c r="J856" s="333"/>
      <c r="K856" s="333"/>
      <c r="L856" s="333"/>
      <c r="M856" s="333"/>
    </row>
    <row r="857" spans="2:13">
      <c r="B857" s="531"/>
      <c r="C857" s="333"/>
      <c r="D857" s="333"/>
      <c r="E857" s="333"/>
      <c r="F857" s="333"/>
      <c r="G857" s="333"/>
      <c r="H857" s="333"/>
      <c r="I857" s="333"/>
      <c r="J857" s="333"/>
      <c r="K857" s="333"/>
      <c r="L857" s="333"/>
      <c r="M857" s="333"/>
    </row>
    <row r="858" spans="2:13">
      <c r="B858" s="531"/>
      <c r="C858" s="333"/>
      <c r="D858" s="333"/>
      <c r="E858" s="333"/>
      <c r="F858" s="333"/>
      <c r="G858" s="333"/>
      <c r="H858" s="333"/>
      <c r="I858" s="333"/>
      <c r="J858" s="333"/>
      <c r="K858" s="333"/>
      <c r="L858" s="333"/>
      <c r="M858" s="333"/>
    </row>
    <row r="859" spans="2:13">
      <c r="B859" s="531"/>
      <c r="C859" s="333"/>
      <c r="D859" s="333"/>
      <c r="E859" s="333"/>
      <c r="F859" s="333"/>
      <c r="G859" s="333"/>
      <c r="H859" s="333"/>
      <c r="I859" s="333"/>
      <c r="J859" s="333"/>
      <c r="K859" s="333"/>
      <c r="L859" s="333"/>
      <c r="M859" s="333"/>
    </row>
    <row r="860" spans="2:13">
      <c r="B860" s="531"/>
      <c r="C860" s="333"/>
      <c r="D860" s="333"/>
      <c r="E860" s="333"/>
      <c r="F860" s="333"/>
      <c r="G860" s="333"/>
      <c r="H860" s="333"/>
      <c r="I860" s="333"/>
      <c r="J860" s="333"/>
      <c r="K860" s="333"/>
      <c r="L860" s="333"/>
      <c r="M860" s="333"/>
    </row>
    <row r="861" spans="2:13">
      <c r="B861" s="531"/>
      <c r="C861" s="333"/>
      <c r="D861" s="333"/>
      <c r="E861" s="333"/>
      <c r="F861" s="333"/>
      <c r="G861" s="333"/>
      <c r="H861" s="333"/>
      <c r="I861" s="333"/>
      <c r="J861" s="333"/>
      <c r="K861" s="333"/>
      <c r="L861" s="333"/>
      <c r="M861" s="333"/>
    </row>
    <row r="862" spans="2:13">
      <c r="B862" s="531"/>
      <c r="C862" s="333"/>
      <c r="D862" s="333"/>
      <c r="E862" s="333"/>
      <c r="F862" s="333"/>
      <c r="G862" s="333"/>
      <c r="H862" s="333"/>
      <c r="I862" s="333"/>
      <c r="J862" s="333"/>
      <c r="K862" s="333"/>
      <c r="L862" s="333"/>
      <c r="M862" s="333"/>
    </row>
    <row r="863" spans="2:13">
      <c r="B863" s="531"/>
      <c r="C863" s="333"/>
      <c r="D863" s="333"/>
      <c r="E863" s="333"/>
      <c r="F863" s="333"/>
      <c r="G863" s="333"/>
      <c r="H863" s="333"/>
      <c r="I863" s="333"/>
      <c r="J863" s="333"/>
      <c r="K863" s="333"/>
      <c r="L863" s="333"/>
      <c r="M863" s="333"/>
    </row>
    <row r="864" spans="2:13">
      <c r="B864" s="531"/>
      <c r="C864" s="333"/>
      <c r="D864" s="333"/>
      <c r="E864" s="333"/>
      <c r="F864" s="333"/>
      <c r="G864" s="333"/>
      <c r="H864" s="333"/>
      <c r="I864" s="333"/>
      <c r="J864" s="333"/>
      <c r="K864" s="333"/>
      <c r="L864" s="333"/>
      <c r="M864" s="333"/>
    </row>
    <row r="865" spans="2:13">
      <c r="B865" s="531"/>
      <c r="C865" s="333"/>
      <c r="D865" s="333"/>
      <c r="E865" s="333"/>
      <c r="F865" s="333"/>
      <c r="G865" s="333"/>
      <c r="H865" s="333"/>
      <c r="I865" s="333"/>
      <c r="J865" s="333"/>
      <c r="K865" s="333"/>
      <c r="L865" s="333"/>
      <c r="M865" s="333"/>
    </row>
    <row r="866" spans="2:13">
      <c r="B866" s="531"/>
      <c r="C866" s="333"/>
      <c r="D866" s="333"/>
      <c r="E866" s="333"/>
      <c r="F866" s="333"/>
      <c r="G866" s="333"/>
      <c r="H866" s="333"/>
      <c r="I866" s="333"/>
      <c r="J866" s="333"/>
      <c r="K866" s="333"/>
      <c r="L866" s="333"/>
      <c r="M866" s="333"/>
    </row>
    <row r="867" spans="2:13">
      <c r="B867" s="531"/>
      <c r="C867" s="333"/>
      <c r="D867" s="333"/>
      <c r="E867" s="333"/>
      <c r="F867" s="333"/>
      <c r="G867" s="333"/>
      <c r="H867" s="333"/>
      <c r="I867" s="333"/>
      <c r="J867" s="333"/>
      <c r="K867" s="333"/>
      <c r="L867" s="333"/>
      <c r="M867" s="333"/>
    </row>
    <row r="868" spans="2:13">
      <c r="B868" s="531"/>
      <c r="C868" s="333"/>
      <c r="D868" s="333"/>
      <c r="E868" s="333"/>
      <c r="F868" s="333"/>
      <c r="G868" s="333"/>
      <c r="H868" s="333"/>
      <c r="I868" s="333"/>
      <c r="J868" s="333"/>
      <c r="K868" s="333"/>
      <c r="L868" s="333"/>
      <c r="M868" s="333"/>
    </row>
    <row r="869" spans="2:13">
      <c r="B869" s="531"/>
      <c r="C869" s="333"/>
      <c r="D869" s="333"/>
      <c r="E869" s="333"/>
      <c r="F869" s="333"/>
      <c r="G869" s="333"/>
      <c r="H869" s="333"/>
      <c r="I869" s="333"/>
      <c r="J869" s="333"/>
      <c r="K869" s="333"/>
      <c r="L869" s="333"/>
      <c r="M869" s="333"/>
    </row>
    <row r="870" spans="2:13">
      <c r="B870" s="531"/>
      <c r="C870" s="333"/>
      <c r="D870" s="333"/>
      <c r="E870" s="333"/>
      <c r="F870" s="333"/>
      <c r="G870" s="333"/>
      <c r="H870" s="333"/>
      <c r="I870" s="333"/>
      <c r="J870" s="333"/>
      <c r="K870" s="333"/>
      <c r="L870" s="333"/>
      <c r="M870" s="333"/>
    </row>
    <row r="871" spans="2:13">
      <c r="B871" s="531"/>
      <c r="C871" s="333"/>
      <c r="D871" s="333"/>
      <c r="E871" s="333"/>
      <c r="F871" s="333"/>
      <c r="G871" s="333"/>
      <c r="H871" s="333"/>
      <c r="I871" s="333"/>
      <c r="J871" s="333"/>
      <c r="K871" s="333"/>
      <c r="L871" s="333"/>
      <c r="M871" s="333"/>
    </row>
    <row r="872" spans="2:13">
      <c r="B872" s="531"/>
      <c r="C872" s="333"/>
      <c r="D872" s="333"/>
      <c r="E872" s="333"/>
      <c r="F872" s="333"/>
      <c r="G872" s="333"/>
      <c r="H872" s="333"/>
      <c r="I872" s="333"/>
      <c r="J872" s="333"/>
      <c r="K872" s="333"/>
      <c r="L872" s="333"/>
      <c r="M872" s="333"/>
    </row>
    <row r="873" spans="2:13">
      <c r="B873" s="531"/>
      <c r="C873" s="333"/>
      <c r="D873" s="333"/>
      <c r="E873" s="333"/>
      <c r="F873" s="333"/>
      <c r="G873" s="333"/>
      <c r="H873" s="333"/>
      <c r="I873" s="333"/>
      <c r="J873" s="333"/>
      <c r="K873" s="333"/>
      <c r="L873" s="333"/>
      <c r="M873" s="333"/>
    </row>
    <row r="874" spans="2:13">
      <c r="B874" s="531"/>
      <c r="C874" s="333"/>
      <c r="D874" s="333"/>
      <c r="E874" s="333"/>
      <c r="F874" s="333"/>
      <c r="G874" s="333"/>
      <c r="H874" s="333"/>
      <c r="I874" s="333"/>
      <c r="J874" s="333"/>
      <c r="K874" s="333"/>
      <c r="L874" s="333"/>
      <c r="M874" s="333"/>
    </row>
    <row r="875" spans="2:13">
      <c r="B875" s="531"/>
      <c r="C875" s="333"/>
      <c r="D875" s="333"/>
      <c r="E875" s="333"/>
      <c r="F875" s="333"/>
      <c r="G875" s="333"/>
      <c r="H875" s="333"/>
      <c r="I875" s="333"/>
      <c r="J875" s="333"/>
      <c r="K875" s="333"/>
      <c r="L875" s="333"/>
      <c r="M875" s="333"/>
    </row>
    <row r="876" spans="2:13">
      <c r="B876" s="531"/>
      <c r="C876" s="333"/>
      <c r="D876" s="333"/>
      <c r="E876" s="333"/>
      <c r="F876" s="333"/>
      <c r="G876" s="333"/>
      <c r="H876" s="333"/>
      <c r="I876" s="333"/>
      <c r="J876" s="333"/>
      <c r="K876" s="333"/>
      <c r="L876" s="333"/>
      <c r="M876" s="333"/>
    </row>
    <row r="877" spans="2:13">
      <c r="B877" s="531"/>
      <c r="C877" s="333"/>
      <c r="D877" s="333"/>
      <c r="E877" s="333"/>
      <c r="F877" s="333"/>
      <c r="G877" s="333"/>
      <c r="H877" s="333"/>
      <c r="I877" s="333"/>
      <c r="J877" s="333"/>
      <c r="K877" s="333"/>
      <c r="L877" s="333"/>
      <c r="M877" s="333"/>
    </row>
    <row r="878" spans="2:13">
      <c r="B878" s="531"/>
      <c r="C878" s="333"/>
      <c r="D878" s="333"/>
      <c r="E878" s="333"/>
      <c r="F878" s="333"/>
      <c r="G878" s="333"/>
      <c r="H878" s="333"/>
      <c r="I878" s="333"/>
      <c r="J878" s="333"/>
      <c r="K878" s="333"/>
      <c r="L878" s="333"/>
      <c r="M878" s="333"/>
    </row>
    <row r="879" spans="2:13">
      <c r="B879" s="531"/>
      <c r="C879" s="333"/>
      <c r="D879" s="333"/>
      <c r="E879" s="333"/>
      <c r="F879" s="333"/>
      <c r="G879" s="333"/>
      <c r="H879" s="333"/>
      <c r="I879" s="333"/>
      <c r="J879" s="333"/>
      <c r="K879" s="333"/>
      <c r="L879" s="333"/>
      <c r="M879" s="333"/>
    </row>
    <row r="880" spans="2:13">
      <c r="B880" s="531"/>
      <c r="C880" s="333"/>
      <c r="D880" s="333"/>
      <c r="E880" s="333"/>
      <c r="F880" s="333"/>
      <c r="G880" s="333"/>
      <c r="H880" s="333"/>
      <c r="I880" s="333"/>
      <c r="J880" s="333"/>
      <c r="K880" s="333"/>
      <c r="L880" s="333"/>
      <c r="M880" s="333"/>
    </row>
    <row r="881" spans="2:13">
      <c r="B881" s="531"/>
      <c r="C881" s="333"/>
      <c r="D881" s="333"/>
      <c r="E881" s="333"/>
      <c r="F881" s="333"/>
      <c r="G881" s="333"/>
      <c r="H881" s="333"/>
      <c r="I881" s="333"/>
      <c r="J881" s="333"/>
      <c r="K881" s="333"/>
      <c r="L881" s="333"/>
      <c r="M881" s="333"/>
    </row>
    <row r="882" spans="2:13">
      <c r="B882" s="531"/>
      <c r="C882" s="333"/>
      <c r="D882" s="333"/>
      <c r="E882" s="333"/>
      <c r="F882" s="333"/>
      <c r="G882" s="333"/>
      <c r="H882" s="333"/>
      <c r="I882" s="333"/>
      <c r="J882" s="333"/>
      <c r="K882" s="333"/>
      <c r="L882" s="333"/>
      <c r="M882" s="333"/>
    </row>
    <row r="883" spans="2:13">
      <c r="B883" s="531"/>
      <c r="C883" s="333"/>
      <c r="D883" s="333"/>
      <c r="E883" s="333"/>
      <c r="F883" s="333"/>
      <c r="G883" s="333"/>
      <c r="H883" s="333"/>
      <c r="I883" s="333"/>
      <c r="J883" s="333"/>
      <c r="K883" s="333"/>
      <c r="L883" s="333"/>
      <c r="M883" s="333"/>
    </row>
    <row r="884" spans="2:13">
      <c r="B884" s="531"/>
      <c r="C884" s="333"/>
      <c r="D884" s="333"/>
      <c r="E884" s="333"/>
      <c r="F884" s="333"/>
      <c r="G884" s="333"/>
      <c r="H884" s="333"/>
      <c r="I884" s="333"/>
      <c r="J884" s="333"/>
      <c r="K884" s="333"/>
      <c r="L884" s="333"/>
      <c r="M884" s="333"/>
    </row>
    <row r="885" spans="2:13">
      <c r="B885" s="531"/>
      <c r="C885" s="333"/>
      <c r="D885" s="333"/>
      <c r="E885" s="333"/>
      <c r="F885" s="333"/>
      <c r="G885" s="333"/>
      <c r="H885" s="333"/>
      <c r="I885" s="333"/>
      <c r="J885" s="333"/>
      <c r="K885" s="333"/>
      <c r="L885" s="333"/>
      <c r="M885" s="333"/>
    </row>
    <row r="886" spans="2:13">
      <c r="B886" s="531"/>
      <c r="C886" s="333"/>
      <c r="D886" s="333"/>
      <c r="E886" s="333"/>
      <c r="F886" s="333"/>
      <c r="G886" s="333"/>
      <c r="H886" s="333"/>
      <c r="I886" s="333"/>
      <c r="J886" s="333"/>
      <c r="K886" s="333"/>
      <c r="L886" s="333"/>
      <c r="M886" s="333"/>
    </row>
    <row r="887" spans="2:13">
      <c r="B887" s="531"/>
      <c r="C887" s="333"/>
      <c r="D887" s="333"/>
      <c r="E887" s="333"/>
      <c r="F887" s="333"/>
      <c r="G887" s="333"/>
      <c r="H887" s="333"/>
      <c r="I887" s="333"/>
      <c r="J887" s="333"/>
      <c r="K887" s="333"/>
      <c r="L887" s="333"/>
      <c r="M887" s="333"/>
    </row>
    <row r="888" spans="2:13">
      <c r="B888" s="531"/>
      <c r="C888" s="333"/>
      <c r="D888" s="333"/>
      <c r="E888" s="333"/>
      <c r="F888" s="333"/>
      <c r="G888" s="333"/>
      <c r="H888" s="333"/>
      <c r="I888" s="333"/>
      <c r="J888" s="333"/>
      <c r="K888" s="333"/>
      <c r="L888" s="333"/>
      <c r="M888" s="333"/>
    </row>
    <row r="889" spans="2:13">
      <c r="B889" s="531"/>
      <c r="C889" s="333"/>
      <c r="D889" s="333"/>
      <c r="E889" s="333"/>
      <c r="F889" s="333"/>
      <c r="G889" s="333"/>
      <c r="H889" s="333"/>
      <c r="I889" s="333"/>
      <c r="J889" s="333"/>
      <c r="K889" s="333"/>
      <c r="L889" s="333"/>
      <c r="M889" s="333"/>
    </row>
    <row r="890" spans="2:13">
      <c r="B890" s="531"/>
      <c r="C890" s="333"/>
      <c r="D890" s="333"/>
      <c r="E890" s="333"/>
      <c r="F890" s="333"/>
      <c r="G890" s="333"/>
      <c r="H890" s="333"/>
      <c r="I890" s="333"/>
      <c r="J890" s="333"/>
      <c r="K890" s="333"/>
      <c r="L890" s="333"/>
      <c r="M890" s="333"/>
    </row>
    <row r="891" spans="2:13">
      <c r="B891" s="531"/>
      <c r="C891" s="333"/>
      <c r="D891" s="333"/>
      <c r="E891" s="333"/>
      <c r="F891" s="333"/>
      <c r="G891" s="333"/>
      <c r="H891" s="333"/>
      <c r="I891" s="333"/>
      <c r="J891" s="333"/>
      <c r="K891" s="333"/>
      <c r="L891" s="333"/>
      <c r="M891" s="333"/>
    </row>
    <row r="892" spans="2:13">
      <c r="B892" s="531"/>
      <c r="C892" s="333"/>
      <c r="D892" s="333"/>
      <c r="E892" s="333"/>
      <c r="F892" s="333"/>
      <c r="G892" s="333"/>
      <c r="H892" s="333"/>
      <c r="I892" s="333"/>
      <c r="J892" s="333"/>
      <c r="K892" s="333"/>
      <c r="L892" s="333"/>
      <c r="M892" s="333"/>
    </row>
    <row r="893" spans="2:13">
      <c r="B893" s="531"/>
      <c r="C893" s="333"/>
      <c r="D893" s="333"/>
      <c r="E893" s="333"/>
      <c r="F893" s="333"/>
      <c r="G893" s="333"/>
      <c r="H893" s="333"/>
      <c r="I893" s="333"/>
      <c r="J893" s="333"/>
      <c r="K893" s="333"/>
      <c r="L893" s="333"/>
      <c r="M893" s="333"/>
    </row>
    <row r="894" spans="2:13">
      <c r="B894" s="531"/>
      <c r="C894" s="333"/>
      <c r="D894" s="333"/>
      <c r="E894" s="333"/>
      <c r="F894" s="333"/>
      <c r="G894" s="333"/>
      <c r="H894" s="333"/>
      <c r="I894" s="333"/>
      <c r="J894" s="333"/>
      <c r="K894" s="333"/>
      <c r="L894" s="333"/>
      <c r="M894" s="333"/>
    </row>
    <row r="895" spans="2:13">
      <c r="B895" s="531"/>
      <c r="C895" s="333"/>
      <c r="D895" s="333"/>
      <c r="E895" s="333"/>
      <c r="F895" s="333"/>
      <c r="G895" s="333"/>
      <c r="H895" s="333"/>
      <c r="I895" s="333"/>
      <c r="J895" s="333"/>
      <c r="K895" s="333"/>
      <c r="L895" s="333"/>
      <c r="M895" s="333"/>
    </row>
    <row r="896" spans="2:13">
      <c r="B896" s="531"/>
      <c r="C896" s="333"/>
      <c r="D896" s="333"/>
      <c r="E896" s="333"/>
      <c r="F896" s="333"/>
      <c r="G896" s="333"/>
      <c r="H896" s="333"/>
      <c r="I896" s="333"/>
      <c r="J896" s="333"/>
      <c r="K896" s="333"/>
      <c r="L896" s="333"/>
      <c r="M896" s="333"/>
    </row>
    <row r="897" spans="2:13">
      <c r="B897" s="531"/>
      <c r="C897" s="333"/>
      <c r="D897" s="333"/>
      <c r="E897" s="333"/>
      <c r="F897" s="333"/>
      <c r="G897" s="333"/>
      <c r="H897" s="333"/>
      <c r="I897" s="333"/>
      <c r="J897" s="333"/>
      <c r="K897" s="333"/>
      <c r="L897" s="333"/>
      <c r="M897" s="333"/>
    </row>
    <row r="898" spans="2:13">
      <c r="B898" s="531"/>
      <c r="C898" s="333"/>
      <c r="D898" s="333"/>
      <c r="E898" s="333"/>
      <c r="F898" s="333"/>
      <c r="G898" s="333"/>
      <c r="H898" s="333"/>
      <c r="I898" s="333"/>
      <c r="J898" s="333"/>
      <c r="K898" s="333"/>
      <c r="L898" s="333"/>
      <c r="M898" s="333"/>
    </row>
    <row r="899" spans="2:13">
      <c r="B899" s="531"/>
      <c r="C899" s="333"/>
      <c r="D899" s="333"/>
      <c r="E899" s="333"/>
      <c r="F899" s="333"/>
      <c r="G899" s="333"/>
      <c r="H899" s="333"/>
      <c r="I899" s="333"/>
      <c r="J899" s="333"/>
      <c r="K899" s="333"/>
      <c r="L899" s="333"/>
      <c r="M899" s="333"/>
    </row>
    <row r="900" spans="2:13">
      <c r="B900" s="531"/>
      <c r="C900" s="333"/>
      <c r="D900" s="333"/>
      <c r="E900" s="333"/>
      <c r="F900" s="333"/>
      <c r="G900" s="333"/>
      <c r="H900" s="333"/>
      <c r="I900" s="333"/>
      <c r="J900" s="333"/>
      <c r="K900" s="333"/>
      <c r="L900" s="333"/>
      <c r="M900" s="333"/>
    </row>
    <row r="901" spans="2:13">
      <c r="B901" s="531"/>
      <c r="C901" s="333"/>
      <c r="D901" s="333"/>
      <c r="E901" s="333"/>
      <c r="F901" s="333"/>
      <c r="G901" s="333"/>
      <c r="H901" s="333"/>
      <c r="I901" s="333"/>
      <c r="J901" s="333"/>
      <c r="K901" s="333"/>
      <c r="L901" s="333"/>
      <c r="M901" s="333"/>
    </row>
    <row r="902" spans="2:13">
      <c r="B902" s="531"/>
      <c r="C902" s="333"/>
      <c r="D902" s="333"/>
      <c r="E902" s="333"/>
      <c r="F902" s="333"/>
      <c r="G902" s="333"/>
      <c r="H902" s="333"/>
      <c r="I902" s="333"/>
      <c r="J902" s="333"/>
      <c r="K902" s="333"/>
      <c r="L902" s="333"/>
      <c r="M902" s="333"/>
    </row>
    <row r="903" spans="2:13">
      <c r="B903" s="531"/>
      <c r="C903" s="333"/>
      <c r="D903" s="333"/>
      <c r="E903" s="333"/>
      <c r="F903" s="333"/>
      <c r="G903" s="333"/>
      <c r="H903" s="333"/>
      <c r="I903" s="333"/>
      <c r="J903" s="333"/>
      <c r="K903" s="333"/>
      <c r="L903" s="333"/>
      <c r="M903" s="333"/>
    </row>
    <row r="904" spans="2:13">
      <c r="B904" s="531"/>
      <c r="C904" s="333"/>
      <c r="D904" s="333"/>
      <c r="E904" s="333"/>
      <c r="F904" s="333"/>
      <c r="G904" s="333"/>
      <c r="H904" s="333"/>
      <c r="I904" s="333"/>
      <c r="J904" s="333"/>
      <c r="K904" s="333"/>
      <c r="L904" s="333"/>
      <c r="M904" s="333"/>
    </row>
    <row r="905" spans="2:13">
      <c r="B905" s="531"/>
      <c r="C905" s="333"/>
      <c r="D905" s="333"/>
      <c r="E905" s="333"/>
      <c r="F905" s="333"/>
      <c r="G905" s="333"/>
      <c r="H905" s="333"/>
      <c r="I905" s="333"/>
      <c r="J905" s="333"/>
      <c r="K905" s="333"/>
      <c r="L905" s="333"/>
      <c r="M905" s="333"/>
    </row>
    <row r="906" spans="2:13">
      <c r="B906" s="531"/>
      <c r="C906" s="333"/>
      <c r="D906" s="333"/>
      <c r="E906" s="333"/>
      <c r="F906" s="333"/>
      <c r="G906" s="333"/>
      <c r="H906" s="333"/>
      <c r="I906" s="333"/>
      <c r="J906" s="333"/>
      <c r="K906" s="333"/>
      <c r="L906" s="333"/>
      <c r="M906" s="333"/>
    </row>
    <row r="907" spans="2:13">
      <c r="B907" s="531"/>
      <c r="C907" s="333"/>
      <c r="D907" s="333"/>
      <c r="E907" s="333"/>
      <c r="F907" s="333"/>
      <c r="G907" s="333"/>
      <c r="H907" s="333"/>
      <c r="I907" s="333"/>
      <c r="J907" s="333"/>
      <c r="K907" s="333"/>
      <c r="L907" s="333"/>
      <c r="M907" s="333"/>
    </row>
    <row r="908" spans="2:13">
      <c r="B908" s="531"/>
      <c r="C908" s="333"/>
      <c r="D908" s="333"/>
      <c r="E908" s="333"/>
      <c r="F908" s="333"/>
      <c r="G908" s="333"/>
      <c r="H908" s="333"/>
      <c r="I908" s="333"/>
      <c r="J908" s="333"/>
      <c r="K908" s="333"/>
      <c r="L908" s="333"/>
      <c r="M908" s="333"/>
    </row>
    <row r="909" spans="2:13">
      <c r="B909" s="531"/>
      <c r="C909" s="333"/>
      <c r="D909" s="333"/>
      <c r="E909" s="333"/>
      <c r="F909" s="333"/>
      <c r="G909" s="333"/>
      <c r="H909" s="333"/>
      <c r="I909" s="333"/>
      <c r="J909" s="333"/>
      <c r="K909" s="333"/>
      <c r="L909" s="333"/>
      <c r="M909" s="333"/>
    </row>
    <row r="910" spans="2:13">
      <c r="B910" s="531"/>
      <c r="C910" s="333"/>
      <c r="D910" s="333"/>
      <c r="E910" s="333"/>
      <c r="F910" s="333"/>
      <c r="G910" s="333"/>
      <c r="H910" s="333"/>
      <c r="I910" s="333"/>
      <c r="J910" s="333"/>
      <c r="K910" s="333"/>
      <c r="L910" s="333"/>
      <c r="M910" s="333"/>
    </row>
    <row r="911" spans="2:13">
      <c r="B911" s="531"/>
      <c r="C911" s="333"/>
      <c r="D911" s="333"/>
      <c r="E911" s="333"/>
      <c r="F911" s="333"/>
      <c r="G911" s="333"/>
      <c r="H911" s="333"/>
      <c r="I911" s="333"/>
      <c r="J911" s="333"/>
      <c r="K911" s="333"/>
      <c r="L911" s="333"/>
      <c r="M911" s="333"/>
    </row>
    <row r="912" spans="2:13">
      <c r="B912" s="531"/>
      <c r="C912" s="333"/>
      <c r="D912" s="333"/>
      <c r="E912" s="333"/>
      <c r="F912" s="333"/>
      <c r="G912" s="333"/>
      <c r="H912" s="333"/>
      <c r="I912" s="333"/>
      <c r="J912" s="333"/>
      <c r="K912" s="333"/>
      <c r="L912" s="333"/>
      <c r="M912" s="333"/>
    </row>
    <row r="913" spans="2:13">
      <c r="B913" s="531"/>
      <c r="C913" s="333"/>
      <c r="D913" s="333"/>
      <c r="E913" s="333"/>
      <c r="F913" s="333"/>
      <c r="G913" s="333"/>
      <c r="H913" s="333"/>
      <c r="I913" s="333"/>
      <c r="J913" s="333"/>
      <c r="K913" s="333"/>
      <c r="L913" s="333"/>
      <c r="M913" s="333"/>
    </row>
    <row r="914" spans="2:13">
      <c r="B914" s="531"/>
      <c r="C914" s="333"/>
      <c r="D914" s="333"/>
      <c r="E914" s="333"/>
      <c r="F914" s="333"/>
      <c r="G914" s="333"/>
      <c r="H914" s="333"/>
      <c r="I914" s="333"/>
      <c r="J914" s="333"/>
      <c r="K914" s="333"/>
      <c r="L914" s="333"/>
      <c r="M914" s="333"/>
    </row>
    <row r="915" spans="2:13">
      <c r="B915" s="531"/>
      <c r="C915" s="333"/>
      <c r="D915" s="333"/>
      <c r="E915" s="333"/>
      <c r="F915" s="333"/>
      <c r="G915" s="333"/>
      <c r="H915" s="333"/>
      <c r="I915" s="333"/>
      <c r="J915" s="333"/>
      <c r="K915" s="333"/>
      <c r="L915" s="333"/>
      <c r="M915" s="333"/>
    </row>
    <row r="916" spans="2:13">
      <c r="B916" s="531"/>
      <c r="C916" s="333"/>
      <c r="D916" s="333"/>
      <c r="E916" s="333"/>
      <c r="F916" s="333"/>
      <c r="G916" s="333"/>
      <c r="H916" s="333"/>
      <c r="I916" s="333"/>
      <c r="J916" s="333"/>
      <c r="K916" s="333"/>
      <c r="L916" s="333"/>
      <c r="M916" s="333"/>
    </row>
    <row r="917" spans="2:13">
      <c r="B917" s="531"/>
      <c r="C917" s="333"/>
      <c r="D917" s="333"/>
      <c r="E917" s="333"/>
      <c r="F917" s="333"/>
      <c r="G917" s="333"/>
      <c r="H917" s="333"/>
      <c r="I917" s="333"/>
      <c r="J917" s="333"/>
      <c r="K917" s="333"/>
      <c r="L917" s="333"/>
      <c r="M917" s="333"/>
    </row>
    <row r="918" spans="2:13">
      <c r="B918" s="531"/>
      <c r="C918" s="333"/>
      <c r="D918" s="333"/>
      <c r="E918" s="333"/>
      <c r="F918" s="333"/>
      <c r="G918" s="333"/>
      <c r="H918" s="333"/>
      <c r="I918" s="333"/>
      <c r="J918" s="333"/>
      <c r="K918" s="333"/>
      <c r="L918" s="333"/>
      <c r="M918" s="333"/>
    </row>
    <row r="919" spans="2:13">
      <c r="B919" s="531"/>
      <c r="C919" s="333"/>
      <c r="D919" s="333"/>
      <c r="E919" s="333"/>
      <c r="F919" s="333"/>
      <c r="G919" s="333"/>
      <c r="H919" s="333"/>
      <c r="I919" s="333"/>
      <c r="J919" s="333"/>
      <c r="K919" s="333"/>
      <c r="L919" s="333"/>
      <c r="M919" s="333"/>
    </row>
    <row r="920" spans="2:13">
      <c r="B920" s="531"/>
      <c r="C920" s="333"/>
      <c r="D920" s="333"/>
      <c r="E920" s="333"/>
      <c r="F920" s="333"/>
      <c r="G920" s="333"/>
      <c r="H920" s="333"/>
      <c r="I920" s="333"/>
      <c r="J920" s="333"/>
      <c r="K920" s="333"/>
      <c r="L920" s="333"/>
      <c r="M920" s="333"/>
    </row>
    <row r="921" spans="2:13">
      <c r="B921" s="531"/>
      <c r="C921" s="333"/>
      <c r="D921" s="333"/>
      <c r="E921" s="333"/>
      <c r="F921" s="333"/>
      <c r="G921" s="333"/>
      <c r="H921" s="333"/>
      <c r="I921" s="333"/>
      <c r="J921" s="333"/>
      <c r="K921" s="333"/>
      <c r="L921" s="333"/>
      <c r="M921" s="333"/>
    </row>
    <row r="922" spans="2:13">
      <c r="B922" s="531"/>
      <c r="C922" s="333"/>
      <c r="D922" s="333"/>
      <c r="E922" s="333"/>
      <c r="F922" s="333"/>
      <c r="G922" s="333"/>
      <c r="H922" s="333"/>
      <c r="I922" s="333"/>
      <c r="J922" s="333"/>
      <c r="K922" s="333"/>
      <c r="L922" s="333"/>
      <c r="M922" s="333"/>
    </row>
    <row r="923" spans="2:13">
      <c r="B923" s="531"/>
      <c r="C923" s="333"/>
      <c r="D923" s="333"/>
      <c r="E923" s="333"/>
      <c r="F923" s="333"/>
      <c r="G923" s="333"/>
      <c r="H923" s="333"/>
      <c r="I923" s="333"/>
      <c r="J923" s="333"/>
      <c r="K923" s="333"/>
      <c r="L923" s="333"/>
      <c r="M923" s="333"/>
    </row>
    <row r="924" spans="2:13">
      <c r="B924" s="531"/>
      <c r="C924" s="333"/>
      <c r="D924" s="333"/>
      <c r="E924" s="333"/>
      <c r="F924" s="333"/>
      <c r="G924" s="333"/>
      <c r="H924" s="333"/>
      <c r="I924" s="333"/>
      <c r="J924" s="333"/>
      <c r="K924" s="333"/>
      <c r="L924" s="333"/>
      <c r="M924" s="333"/>
    </row>
    <row r="925" spans="2:13">
      <c r="B925" s="531"/>
      <c r="C925" s="333"/>
      <c r="D925" s="333"/>
      <c r="E925" s="333"/>
      <c r="F925" s="333"/>
      <c r="G925" s="333"/>
      <c r="H925" s="333"/>
      <c r="I925" s="333"/>
      <c r="J925" s="333"/>
      <c r="K925" s="333"/>
      <c r="L925" s="333"/>
      <c r="M925" s="333"/>
    </row>
    <row r="926" spans="2:13">
      <c r="B926" s="531"/>
      <c r="C926" s="333"/>
      <c r="D926" s="333"/>
      <c r="E926" s="333"/>
      <c r="F926" s="333"/>
      <c r="G926" s="333"/>
      <c r="H926" s="333"/>
      <c r="I926" s="333"/>
      <c r="J926" s="333"/>
      <c r="K926" s="333"/>
      <c r="L926" s="333"/>
      <c r="M926" s="333"/>
    </row>
    <row r="927" spans="2:13">
      <c r="B927" s="531"/>
      <c r="C927" s="333"/>
      <c r="D927" s="333"/>
      <c r="E927" s="333"/>
      <c r="F927" s="333"/>
      <c r="G927" s="333"/>
      <c r="H927" s="333"/>
      <c r="I927" s="333"/>
      <c r="J927" s="333"/>
      <c r="K927" s="333"/>
      <c r="L927" s="333"/>
      <c r="M927" s="333"/>
    </row>
    <row r="928" spans="2:13">
      <c r="B928" s="531"/>
      <c r="C928" s="333"/>
      <c r="D928" s="333"/>
      <c r="E928" s="333"/>
      <c r="F928" s="333"/>
      <c r="G928" s="333"/>
      <c r="H928" s="333"/>
      <c r="I928" s="333"/>
      <c r="J928" s="333"/>
      <c r="K928" s="333"/>
      <c r="L928" s="333"/>
      <c r="M928" s="333"/>
    </row>
    <row r="929" spans="2:13">
      <c r="B929" s="531"/>
      <c r="C929" s="333"/>
      <c r="D929" s="333"/>
      <c r="E929" s="333"/>
      <c r="F929" s="333"/>
      <c r="G929" s="333"/>
      <c r="H929" s="333"/>
      <c r="I929" s="333"/>
      <c r="J929" s="333"/>
      <c r="K929" s="333"/>
      <c r="L929" s="333"/>
      <c r="M929" s="333"/>
    </row>
    <row r="930" spans="2:13">
      <c r="B930" s="531"/>
      <c r="C930" s="333"/>
      <c r="D930" s="333"/>
      <c r="E930" s="333"/>
      <c r="F930" s="333"/>
      <c r="G930" s="333"/>
      <c r="H930" s="333"/>
      <c r="I930" s="333"/>
      <c r="J930" s="333"/>
      <c r="K930" s="333"/>
      <c r="L930" s="333"/>
      <c r="M930" s="333"/>
    </row>
    <row r="931" spans="2:13">
      <c r="B931" s="531"/>
      <c r="C931" s="333"/>
      <c r="D931" s="333"/>
      <c r="E931" s="333"/>
      <c r="F931" s="333"/>
      <c r="G931" s="333"/>
      <c r="H931" s="333"/>
      <c r="I931" s="333"/>
      <c r="J931" s="333"/>
      <c r="K931" s="333"/>
      <c r="L931" s="333"/>
      <c r="M931" s="333"/>
    </row>
    <row r="932" spans="2:13">
      <c r="B932" s="531"/>
      <c r="C932" s="333"/>
      <c r="D932" s="333"/>
      <c r="E932" s="333"/>
      <c r="F932" s="333"/>
      <c r="G932" s="333"/>
      <c r="H932" s="333"/>
      <c r="I932" s="333"/>
      <c r="J932" s="333"/>
      <c r="K932" s="333"/>
      <c r="L932" s="333"/>
      <c r="M932" s="333"/>
    </row>
    <row r="933" spans="2:13">
      <c r="B933" s="531"/>
      <c r="C933" s="333"/>
      <c r="D933" s="333"/>
      <c r="E933" s="333"/>
      <c r="F933" s="333"/>
      <c r="G933" s="333"/>
      <c r="H933" s="333"/>
      <c r="I933" s="333"/>
      <c r="J933" s="333"/>
      <c r="K933" s="333"/>
      <c r="L933" s="333"/>
      <c r="M933" s="333"/>
    </row>
    <row r="934" spans="2:13">
      <c r="B934" s="531"/>
      <c r="C934" s="333"/>
      <c r="D934" s="333"/>
      <c r="E934" s="333"/>
      <c r="F934" s="333"/>
      <c r="G934" s="333"/>
      <c r="H934" s="333"/>
      <c r="I934" s="333"/>
      <c r="J934" s="333"/>
      <c r="K934" s="333"/>
      <c r="L934" s="333"/>
      <c r="M934" s="333"/>
    </row>
    <row r="935" spans="2:13">
      <c r="B935" s="531"/>
      <c r="C935" s="333"/>
      <c r="D935" s="333"/>
      <c r="E935" s="333"/>
      <c r="F935" s="333"/>
      <c r="G935" s="333"/>
      <c r="H935" s="333"/>
      <c r="I935" s="333"/>
      <c r="J935" s="333"/>
      <c r="K935" s="333"/>
      <c r="L935" s="333"/>
      <c r="M935" s="333"/>
    </row>
    <row r="936" spans="2:13">
      <c r="B936" s="531"/>
      <c r="C936" s="333"/>
      <c r="D936" s="333"/>
      <c r="E936" s="333"/>
      <c r="F936" s="333"/>
      <c r="G936" s="333"/>
      <c r="H936" s="333"/>
      <c r="I936" s="333"/>
      <c r="J936" s="333"/>
      <c r="K936" s="333"/>
      <c r="L936" s="333"/>
      <c r="M936" s="333"/>
    </row>
    <row r="937" spans="2:13">
      <c r="B937" s="531"/>
      <c r="C937" s="333"/>
      <c r="D937" s="333"/>
      <c r="E937" s="333"/>
      <c r="F937" s="333"/>
      <c r="G937" s="333"/>
      <c r="H937" s="333"/>
      <c r="I937" s="333"/>
      <c r="J937" s="333"/>
      <c r="K937" s="333"/>
      <c r="L937" s="333"/>
      <c r="M937" s="333"/>
    </row>
    <row r="938" spans="2:13">
      <c r="B938" s="531"/>
      <c r="C938" s="333"/>
      <c r="D938" s="333"/>
      <c r="E938" s="333"/>
      <c r="F938" s="333"/>
      <c r="G938" s="333"/>
      <c r="H938" s="333"/>
      <c r="I938" s="333"/>
      <c r="J938" s="333"/>
      <c r="K938" s="333"/>
      <c r="L938" s="333"/>
      <c r="M938" s="333"/>
    </row>
    <row r="939" spans="2:13">
      <c r="B939" s="531"/>
      <c r="C939" s="333"/>
      <c r="D939" s="333"/>
      <c r="E939" s="333"/>
      <c r="F939" s="333"/>
      <c r="G939" s="333"/>
      <c r="H939" s="333"/>
      <c r="I939" s="333"/>
      <c r="J939" s="333"/>
      <c r="K939" s="333"/>
      <c r="L939" s="333"/>
      <c r="M939" s="333"/>
    </row>
    <row r="940" spans="2:13">
      <c r="B940" s="531"/>
      <c r="C940" s="333"/>
      <c r="D940" s="333"/>
      <c r="E940" s="333"/>
      <c r="F940" s="333"/>
      <c r="G940" s="333"/>
      <c r="H940" s="333"/>
      <c r="I940" s="333"/>
      <c r="J940" s="333"/>
      <c r="K940" s="333"/>
      <c r="L940" s="333"/>
      <c r="M940" s="333"/>
    </row>
    <row r="941" spans="2:13">
      <c r="B941" s="531"/>
      <c r="C941" s="333"/>
      <c r="D941" s="333"/>
      <c r="E941" s="333"/>
      <c r="F941" s="333"/>
      <c r="G941" s="333"/>
      <c r="H941" s="333"/>
      <c r="I941" s="333"/>
      <c r="J941" s="333"/>
      <c r="K941" s="333"/>
      <c r="L941" s="333"/>
      <c r="M941" s="333"/>
    </row>
    <row r="942" spans="2:13">
      <c r="B942" s="531"/>
      <c r="C942" s="333"/>
      <c r="D942" s="333"/>
      <c r="E942" s="333"/>
      <c r="F942" s="333"/>
      <c r="G942" s="333"/>
      <c r="H942" s="333"/>
      <c r="I942" s="333"/>
      <c r="J942" s="333"/>
      <c r="K942" s="333"/>
      <c r="L942" s="333"/>
      <c r="M942" s="333"/>
    </row>
    <row r="943" spans="2:13">
      <c r="B943" s="531"/>
      <c r="C943" s="333"/>
      <c r="D943" s="333"/>
      <c r="E943" s="333"/>
      <c r="F943" s="333"/>
      <c r="G943" s="333"/>
      <c r="H943" s="333"/>
      <c r="I943" s="333"/>
      <c r="J943" s="333"/>
      <c r="K943" s="333"/>
      <c r="L943" s="333"/>
      <c r="M943" s="333"/>
    </row>
    <row r="944" spans="2:13">
      <c r="B944" s="531"/>
      <c r="C944" s="333"/>
      <c r="D944" s="333"/>
      <c r="E944" s="333"/>
      <c r="F944" s="333"/>
      <c r="G944" s="333"/>
      <c r="H944" s="333"/>
      <c r="I944" s="333"/>
      <c r="J944" s="333"/>
      <c r="K944" s="333"/>
      <c r="L944" s="333"/>
      <c r="M944" s="333"/>
    </row>
    <row r="945" spans="2:13">
      <c r="B945" s="531"/>
      <c r="C945" s="333"/>
      <c r="D945" s="333"/>
      <c r="E945" s="333"/>
      <c r="F945" s="333"/>
      <c r="G945" s="333"/>
      <c r="H945" s="333"/>
      <c r="I945" s="333"/>
      <c r="J945" s="333"/>
      <c r="K945" s="333"/>
      <c r="L945" s="333"/>
      <c r="M945" s="333"/>
    </row>
    <row r="946" spans="2:13">
      <c r="B946" s="531"/>
      <c r="C946" s="333"/>
      <c r="D946" s="333"/>
      <c r="E946" s="333"/>
      <c r="F946" s="333"/>
      <c r="G946" s="333"/>
      <c r="H946" s="333"/>
      <c r="I946" s="333"/>
      <c r="J946" s="333"/>
      <c r="K946" s="333"/>
      <c r="L946" s="333"/>
      <c r="M946" s="333"/>
    </row>
    <row r="947" spans="2:13">
      <c r="B947" s="531"/>
      <c r="C947" s="333"/>
      <c r="D947" s="333"/>
      <c r="E947" s="333"/>
      <c r="F947" s="333"/>
      <c r="G947" s="333"/>
      <c r="H947" s="333"/>
      <c r="I947" s="333"/>
      <c r="J947" s="333"/>
      <c r="K947" s="333"/>
      <c r="L947" s="333"/>
      <c r="M947" s="333"/>
    </row>
    <row r="948" spans="2:13">
      <c r="B948" s="531"/>
      <c r="C948" s="333"/>
      <c r="D948" s="333"/>
      <c r="E948" s="333"/>
      <c r="F948" s="333"/>
      <c r="G948" s="333"/>
      <c r="H948" s="333"/>
      <c r="I948" s="333"/>
      <c r="J948" s="333"/>
      <c r="K948" s="333"/>
      <c r="L948" s="333"/>
      <c r="M948" s="333"/>
    </row>
    <row r="949" spans="2:13">
      <c r="B949" s="531"/>
      <c r="C949" s="333"/>
      <c r="D949" s="333"/>
      <c r="E949" s="333"/>
      <c r="F949" s="333"/>
      <c r="G949" s="333"/>
      <c r="H949" s="333"/>
      <c r="I949" s="333"/>
      <c r="J949" s="333"/>
      <c r="K949" s="333"/>
      <c r="L949" s="333"/>
      <c r="M949" s="333"/>
    </row>
    <row r="950" spans="2:13">
      <c r="B950" s="531"/>
      <c r="C950" s="333"/>
      <c r="D950" s="333"/>
      <c r="E950" s="333"/>
      <c r="F950" s="333"/>
      <c r="G950" s="333"/>
      <c r="H950" s="333"/>
      <c r="I950" s="333"/>
      <c r="J950" s="333"/>
      <c r="K950" s="333"/>
      <c r="L950" s="333"/>
      <c r="M950" s="333"/>
    </row>
    <row r="951" spans="2:13">
      <c r="B951" s="531"/>
      <c r="C951" s="333"/>
      <c r="D951" s="333"/>
      <c r="E951" s="333"/>
      <c r="F951" s="333"/>
      <c r="G951" s="333"/>
      <c r="H951" s="333"/>
      <c r="I951" s="333"/>
      <c r="J951" s="333"/>
      <c r="K951" s="333"/>
      <c r="L951" s="333"/>
      <c r="M951" s="333"/>
    </row>
    <row r="952" spans="2:13">
      <c r="B952" s="531"/>
      <c r="C952" s="333"/>
      <c r="D952" s="333"/>
      <c r="E952" s="333"/>
      <c r="F952" s="333"/>
      <c r="G952" s="333"/>
      <c r="H952" s="333"/>
      <c r="I952" s="333"/>
      <c r="J952" s="333"/>
      <c r="K952" s="333"/>
      <c r="L952" s="333"/>
      <c r="M952" s="333"/>
    </row>
    <row r="953" spans="2:13">
      <c r="B953" s="531"/>
      <c r="C953" s="333"/>
      <c r="D953" s="333"/>
      <c r="E953" s="333"/>
      <c r="F953" s="333"/>
      <c r="G953" s="333"/>
      <c r="H953" s="333"/>
      <c r="I953" s="333"/>
      <c r="J953" s="333"/>
      <c r="K953" s="333"/>
      <c r="L953" s="333"/>
      <c r="M953" s="333"/>
    </row>
    <row r="954" spans="2:13">
      <c r="B954" s="531"/>
      <c r="C954" s="333"/>
      <c r="D954" s="333"/>
      <c r="E954" s="333"/>
      <c r="F954" s="333"/>
      <c r="G954" s="333"/>
      <c r="H954" s="333"/>
      <c r="I954" s="333"/>
      <c r="J954" s="333"/>
      <c r="K954" s="333"/>
      <c r="L954" s="333"/>
      <c r="M954" s="333"/>
    </row>
    <row r="955" spans="2:13">
      <c r="B955" s="531"/>
      <c r="C955" s="333"/>
      <c r="D955" s="333"/>
      <c r="E955" s="333"/>
      <c r="F955" s="333"/>
      <c r="G955" s="333"/>
      <c r="H955" s="333"/>
      <c r="I955" s="333"/>
      <c r="J955" s="333"/>
      <c r="K955" s="333"/>
      <c r="L955" s="333"/>
      <c r="M955" s="333"/>
    </row>
    <row r="956" spans="2:13">
      <c r="B956" s="531"/>
      <c r="C956" s="333"/>
      <c r="D956" s="333"/>
      <c r="E956" s="333"/>
      <c r="F956" s="333"/>
      <c r="G956" s="333"/>
      <c r="H956" s="333"/>
      <c r="I956" s="333"/>
      <c r="J956" s="333"/>
      <c r="K956" s="333"/>
      <c r="L956" s="333"/>
      <c r="M956" s="333"/>
    </row>
    <row r="957" spans="2:13">
      <c r="B957" s="531"/>
      <c r="C957" s="333"/>
      <c r="D957" s="333"/>
      <c r="E957" s="333"/>
      <c r="F957" s="333"/>
      <c r="G957" s="333"/>
      <c r="H957" s="333"/>
      <c r="I957" s="333"/>
      <c r="J957" s="333"/>
      <c r="K957" s="333"/>
      <c r="L957" s="333"/>
      <c r="M957" s="333"/>
    </row>
    <row r="958" spans="2:13">
      <c r="B958" s="531"/>
      <c r="C958" s="333"/>
      <c r="D958" s="333"/>
      <c r="E958" s="333"/>
      <c r="F958" s="333"/>
      <c r="G958" s="333"/>
      <c r="H958" s="333"/>
      <c r="I958" s="333"/>
      <c r="J958" s="333"/>
      <c r="K958" s="333"/>
      <c r="L958" s="333"/>
      <c r="M958" s="333"/>
    </row>
    <row r="959" spans="2:13">
      <c r="B959" s="531"/>
      <c r="C959" s="333"/>
      <c r="D959" s="333"/>
      <c r="E959" s="333"/>
      <c r="F959" s="333"/>
      <c r="G959" s="333"/>
      <c r="H959" s="333"/>
      <c r="I959" s="333"/>
      <c r="J959" s="333"/>
      <c r="K959" s="333"/>
      <c r="L959" s="333"/>
      <c r="M959" s="333"/>
    </row>
    <row r="960" spans="2:13">
      <c r="B960" s="531"/>
      <c r="C960" s="333"/>
      <c r="D960" s="333"/>
      <c r="E960" s="333"/>
      <c r="F960" s="333"/>
      <c r="G960" s="333"/>
      <c r="H960" s="333"/>
      <c r="I960" s="333"/>
      <c r="J960" s="333"/>
      <c r="K960" s="333"/>
      <c r="L960" s="333"/>
      <c r="M960" s="333"/>
    </row>
    <row r="961" spans="2:13">
      <c r="B961" s="531"/>
      <c r="C961" s="333"/>
      <c r="D961" s="333"/>
      <c r="E961" s="333"/>
      <c r="F961" s="333"/>
      <c r="G961" s="333"/>
      <c r="H961" s="333"/>
      <c r="I961" s="333"/>
      <c r="J961" s="333"/>
      <c r="K961" s="333"/>
      <c r="L961" s="333"/>
      <c r="M961" s="333"/>
    </row>
    <row r="962" spans="2:13">
      <c r="B962" s="531"/>
      <c r="C962" s="333"/>
      <c r="D962" s="333"/>
      <c r="E962" s="333"/>
      <c r="F962" s="333"/>
      <c r="G962" s="333"/>
      <c r="H962" s="333"/>
      <c r="I962" s="333"/>
      <c r="J962" s="333"/>
      <c r="K962" s="333"/>
      <c r="L962" s="333"/>
      <c r="M962" s="333"/>
    </row>
    <row r="963" spans="2:13">
      <c r="B963" s="531"/>
      <c r="C963" s="333"/>
      <c r="D963" s="333"/>
      <c r="E963" s="333"/>
      <c r="F963" s="333"/>
      <c r="G963" s="333"/>
      <c r="H963" s="333"/>
      <c r="I963" s="333"/>
      <c r="J963" s="333"/>
      <c r="K963" s="333"/>
      <c r="L963" s="333"/>
      <c r="M963" s="333"/>
    </row>
    <row r="964" spans="2:13">
      <c r="B964" s="531"/>
      <c r="C964" s="333"/>
      <c r="D964" s="333"/>
      <c r="E964" s="333"/>
      <c r="F964" s="333"/>
      <c r="G964" s="333"/>
      <c r="H964" s="333"/>
      <c r="I964" s="333"/>
      <c r="J964" s="333"/>
      <c r="K964" s="333"/>
      <c r="L964" s="333"/>
      <c r="M964" s="333"/>
    </row>
    <row r="965" spans="2:13">
      <c r="B965" s="531"/>
      <c r="C965" s="333"/>
      <c r="D965" s="333"/>
      <c r="E965" s="333"/>
      <c r="F965" s="333"/>
      <c r="G965" s="333"/>
      <c r="H965" s="333"/>
      <c r="I965" s="333"/>
      <c r="J965" s="333"/>
      <c r="K965" s="333"/>
      <c r="L965" s="333"/>
      <c r="M965" s="333"/>
    </row>
    <row r="966" spans="2:13">
      <c r="B966" s="531"/>
      <c r="C966" s="333"/>
      <c r="D966" s="333"/>
      <c r="E966" s="333"/>
      <c r="F966" s="333"/>
      <c r="G966" s="333"/>
      <c r="H966" s="333"/>
      <c r="I966" s="333"/>
      <c r="J966" s="333"/>
      <c r="K966" s="333"/>
      <c r="L966" s="333"/>
      <c r="M966" s="333"/>
    </row>
    <row r="967" spans="2:13">
      <c r="B967" s="531"/>
      <c r="C967" s="333"/>
      <c r="D967" s="333"/>
      <c r="E967" s="333"/>
      <c r="F967" s="333"/>
      <c r="G967" s="333"/>
      <c r="H967" s="333"/>
      <c r="I967" s="333"/>
      <c r="J967" s="333"/>
      <c r="K967" s="333"/>
      <c r="L967" s="333"/>
      <c r="M967" s="333"/>
    </row>
    <row r="968" spans="2:13">
      <c r="B968" s="531"/>
      <c r="C968" s="333"/>
      <c r="D968" s="333"/>
      <c r="E968" s="333"/>
      <c r="F968" s="333"/>
      <c r="G968" s="333"/>
      <c r="H968" s="333"/>
      <c r="I968" s="333"/>
      <c r="J968" s="333"/>
      <c r="K968" s="333"/>
      <c r="L968" s="333"/>
      <c r="M968" s="333"/>
    </row>
    <row r="969" spans="2:13">
      <c r="B969" s="531"/>
      <c r="C969" s="333"/>
      <c r="D969" s="333"/>
      <c r="E969" s="333"/>
      <c r="F969" s="333"/>
      <c r="G969" s="333"/>
      <c r="H969" s="333"/>
      <c r="I969" s="333"/>
      <c r="J969" s="333"/>
      <c r="K969" s="333"/>
      <c r="L969" s="333"/>
      <c r="M969" s="333"/>
    </row>
    <row r="970" spans="2:13">
      <c r="B970" s="531"/>
      <c r="C970" s="333"/>
      <c r="D970" s="333"/>
      <c r="E970" s="333"/>
      <c r="F970" s="333"/>
      <c r="G970" s="333"/>
      <c r="H970" s="333"/>
      <c r="I970" s="333"/>
      <c r="J970" s="333"/>
      <c r="K970" s="333"/>
      <c r="L970" s="333"/>
      <c r="M970" s="333"/>
    </row>
    <row r="971" spans="2:13">
      <c r="B971" s="531"/>
      <c r="C971" s="333"/>
      <c r="D971" s="333"/>
      <c r="E971" s="333"/>
      <c r="F971" s="333"/>
      <c r="G971" s="333"/>
      <c r="H971" s="333"/>
      <c r="I971" s="333"/>
      <c r="J971" s="333"/>
      <c r="K971" s="333"/>
      <c r="L971" s="333"/>
      <c r="M971" s="333"/>
    </row>
    <row r="972" spans="2:13">
      <c r="B972" s="531"/>
      <c r="C972" s="333"/>
      <c r="D972" s="333"/>
      <c r="E972" s="333"/>
      <c r="F972" s="333"/>
      <c r="G972" s="333"/>
      <c r="H972" s="333"/>
      <c r="I972" s="333"/>
      <c r="J972" s="333"/>
      <c r="K972" s="333"/>
      <c r="L972" s="333"/>
      <c r="M972" s="333"/>
    </row>
    <row r="973" spans="2:13">
      <c r="B973" s="531"/>
      <c r="C973" s="333"/>
      <c r="D973" s="333"/>
      <c r="E973" s="333"/>
      <c r="F973" s="333"/>
      <c r="G973" s="333"/>
      <c r="H973" s="333"/>
      <c r="I973" s="333"/>
      <c r="J973" s="333"/>
      <c r="K973" s="333"/>
      <c r="L973" s="333"/>
      <c r="M973" s="333"/>
    </row>
    <row r="974" spans="2:13">
      <c r="B974" s="531"/>
      <c r="C974" s="333"/>
      <c r="D974" s="333"/>
      <c r="E974" s="333"/>
      <c r="F974" s="333"/>
      <c r="G974" s="333"/>
      <c r="H974" s="333"/>
      <c r="I974" s="333"/>
      <c r="J974" s="333"/>
      <c r="K974" s="333"/>
      <c r="L974" s="333"/>
      <c r="M974" s="333"/>
    </row>
    <row r="975" spans="2:13">
      <c r="B975" s="531"/>
      <c r="C975" s="333"/>
      <c r="D975" s="333"/>
      <c r="E975" s="333"/>
      <c r="F975" s="333"/>
      <c r="G975" s="333"/>
      <c r="H975" s="333"/>
      <c r="I975" s="333"/>
      <c r="J975" s="333"/>
      <c r="K975" s="333"/>
      <c r="L975" s="333"/>
      <c r="M975" s="333"/>
    </row>
    <row r="976" spans="2:13">
      <c r="B976" s="531"/>
      <c r="C976" s="333"/>
      <c r="D976" s="333"/>
      <c r="E976" s="333"/>
      <c r="F976" s="333"/>
      <c r="G976" s="333"/>
      <c r="H976" s="333"/>
      <c r="I976" s="333"/>
      <c r="J976" s="333"/>
      <c r="K976" s="333"/>
      <c r="L976" s="333"/>
      <c r="M976" s="333"/>
    </row>
    <row r="977" spans="2:13">
      <c r="B977" s="531"/>
      <c r="C977" s="333"/>
      <c r="D977" s="333"/>
      <c r="E977" s="333"/>
      <c r="F977" s="333"/>
      <c r="G977" s="333"/>
      <c r="H977" s="333"/>
      <c r="I977" s="333"/>
      <c r="J977" s="333"/>
      <c r="K977" s="333"/>
      <c r="L977" s="333"/>
      <c r="M977" s="333"/>
    </row>
    <row r="978" spans="2:13">
      <c r="B978" s="531"/>
      <c r="C978" s="333"/>
      <c r="D978" s="333"/>
      <c r="E978" s="333"/>
      <c r="F978" s="333"/>
      <c r="G978" s="333"/>
      <c r="H978" s="333"/>
      <c r="I978" s="333"/>
      <c r="J978" s="333"/>
      <c r="K978" s="333"/>
      <c r="L978" s="333"/>
      <c r="M978" s="333"/>
    </row>
    <row r="979" spans="2:13">
      <c r="B979" s="531"/>
      <c r="C979" s="333"/>
      <c r="D979" s="333"/>
      <c r="E979" s="333"/>
      <c r="F979" s="333"/>
      <c r="G979" s="333"/>
      <c r="H979" s="333"/>
      <c r="I979" s="333"/>
      <c r="J979" s="333"/>
      <c r="K979" s="333"/>
      <c r="L979" s="333"/>
      <c r="M979" s="333"/>
    </row>
    <row r="980" spans="2:13">
      <c r="B980" s="531"/>
      <c r="C980" s="333"/>
      <c r="D980" s="333"/>
      <c r="E980" s="333"/>
      <c r="F980" s="333"/>
      <c r="G980" s="333"/>
      <c r="H980" s="333"/>
      <c r="I980" s="333"/>
      <c r="J980" s="333"/>
      <c r="K980" s="333"/>
      <c r="L980" s="333"/>
      <c r="M980" s="333"/>
    </row>
    <row r="981" spans="2:13">
      <c r="B981" s="531"/>
      <c r="C981" s="333"/>
      <c r="D981" s="333"/>
      <c r="E981" s="333"/>
      <c r="F981" s="333"/>
      <c r="G981" s="333"/>
      <c r="H981" s="333"/>
      <c r="I981" s="333"/>
      <c r="J981" s="333"/>
      <c r="K981" s="333"/>
      <c r="L981" s="333"/>
      <c r="M981" s="333"/>
    </row>
    <row r="982" spans="2:13">
      <c r="B982" s="531"/>
      <c r="C982" s="333"/>
      <c r="D982" s="333"/>
      <c r="E982" s="333"/>
      <c r="F982" s="333"/>
      <c r="G982" s="333"/>
      <c r="H982" s="333"/>
      <c r="I982" s="333"/>
      <c r="J982" s="333"/>
      <c r="K982" s="333"/>
      <c r="L982" s="333"/>
      <c r="M982" s="333"/>
    </row>
    <row r="983" spans="2:13">
      <c r="B983" s="531"/>
      <c r="C983" s="333"/>
      <c r="D983" s="333"/>
      <c r="E983" s="333"/>
      <c r="F983" s="333"/>
      <c r="G983" s="333"/>
      <c r="H983" s="333"/>
      <c r="I983" s="333"/>
      <c r="J983" s="333"/>
      <c r="K983" s="333"/>
      <c r="L983" s="333"/>
      <c r="M983" s="333"/>
    </row>
    <row r="984" spans="2:13">
      <c r="B984" s="531"/>
      <c r="C984" s="333"/>
      <c r="D984" s="333"/>
      <c r="E984" s="333"/>
      <c r="F984" s="333"/>
      <c r="G984" s="333"/>
      <c r="H984" s="333"/>
      <c r="I984" s="333"/>
      <c r="J984" s="333"/>
      <c r="K984" s="333"/>
      <c r="L984" s="333"/>
      <c r="M984" s="333"/>
    </row>
    <row r="985" spans="2:13">
      <c r="B985" s="531"/>
      <c r="C985" s="333"/>
      <c r="D985" s="333"/>
      <c r="E985" s="333"/>
      <c r="F985" s="333"/>
      <c r="G985" s="333"/>
      <c r="H985" s="333"/>
      <c r="I985" s="333"/>
      <c r="J985" s="333"/>
      <c r="K985" s="333"/>
      <c r="L985" s="333"/>
      <c r="M985" s="333"/>
    </row>
    <row r="986" spans="2:13">
      <c r="B986" s="531"/>
      <c r="C986" s="333"/>
      <c r="D986" s="333"/>
      <c r="E986" s="333"/>
      <c r="F986" s="333"/>
      <c r="G986" s="333"/>
      <c r="H986" s="333"/>
      <c r="I986" s="333"/>
      <c r="J986" s="333"/>
      <c r="K986" s="333"/>
      <c r="L986" s="333"/>
      <c r="M986" s="333"/>
    </row>
    <row r="987" spans="2:13">
      <c r="B987" s="531"/>
      <c r="C987" s="333"/>
      <c r="D987" s="333"/>
      <c r="E987" s="333"/>
      <c r="F987" s="333"/>
      <c r="G987" s="333"/>
      <c r="H987" s="333"/>
      <c r="I987" s="333"/>
      <c r="J987" s="333"/>
      <c r="K987" s="333"/>
      <c r="L987" s="333"/>
      <c r="M987" s="333"/>
    </row>
    <row r="988" spans="2:13">
      <c r="B988" s="531"/>
      <c r="C988" s="333"/>
      <c r="D988" s="333"/>
      <c r="E988" s="333"/>
      <c r="F988" s="333"/>
      <c r="G988" s="333"/>
      <c r="H988" s="333"/>
      <c r="I988" s="333"/>
      <c r="J988" s="333"/>
      <c r="K988" s="333"/>
      <c r="L988" s="333"/>
      <c r="M988" s="333"/>
    </row>
    <row r="989" spans="2:13">
      <c r="B989" s="531"/>
      <c r="C989" s="333"/>
      <c r="D989" s="333"/>
      <c r="E989" s="333"/>
      <c r="F989" s="333"/>
      <c r="G989" s="333"/>
      <c r="H989" s="333"/>
      <c r="I989" s="333"/>
      <c r="J989" s="333"/>
      <c r="K989" s="333"/>
      <c r="L989" s="333"/>
      <c r="M989" s="333"/>
    </row>
    <row r="990" spans="2:13">
      <c r="B990" s="531"/>
      <c r="C990" s="333"/>
      <c r="D990" s="333"/>
      <c r="E990" s="333"/>
      <c r="F990" s="333"/>
      <c r="G990" s="333"/>
      <c r="H990" s="333"/>
      <c r="I990" s="333"/>
      <c r="J990" s="333"/>
      <c r="K990" s="333"/>
      <c r="L990" s="333"/>
      <c r="M990" s="333"/>
    </row>
    <row r="991" spans="2:13">
      <c r="B991" s="531"/>
      <c r="C991" s="333"/>
      <c r="D991" s="333"/>
      <c r="E991" s="333"/>
      <c r="F991" s="333"/>
      <c r="G991" s="333"/>
      <c r="H991" s="333"/>
      <c r="I991" s="333"/>
      <c r="J991" s="333"/>
      <c r="K991" s="333"/>
      <c r="L991" s="333"/>
      <c r="M991" s="333"/>
    </row>
    <row r="992" spans="2:13">
      <c r="B992" s="531"/>
      <c r="C992" s="333"/>
      <c r="D992" s="333"/>
      <c r="E992" s="333"/>
      <c r="F992" s="333"/>
      <c r="G992" s="333"/>
      <c r="H992" s="333"/>
      <c r="I992" s="333"/>
      <c r="J992" s="333"/>
      <c r="K992" s="333"/>
      <c r="L992" s="333"/>
      <c r="M992" s="333"/>
    </row>
    <row r="993" spans="2:13">
      <c r="B993" s="531"/>
      <c r="C993" s="333"/>
      <c r="D993" s="333"/>
      <c r="E993" s="333"/>
      <c r="F993" s="333"/>
      <c r="G993" s="333"/>
      <c r="H993" s="333"/>
      <c r="I993" s="333"/>
      <c r="J993" s="333"/>
      <c r="K993" s="333"/>
      <c r="L993" s="333"/>
      <c r="M993" s="333"/>
    </row>
    <row r="994" spans="2:13">
      <c r="B994" s="531"/>
      <c r="C994" s="333"/>
      <c r="D994" s="333"/>
      <c r="E994" s="333"/>
      <c r="F994" s="333"/>
      <c r="G994" s="333"/>
      <c r="H994" s="333"/>
      <c r="I994" s="333"/>
      <c r="J994" s="333"/>
      <c r="K994" s="333"/>
      <c r="L994" s="333"/>
      <c r="M994" s="333"/>
    </row>
    <row r="995" spans="2:13">
      <c r="B995" s="531"/>
      <c r="C995" s="333"/>
      <c r="D995" s="333"/>
      <c r="E995" s="333"/>
      <c r="F995" s="333"/>
      <c r="G995" s="333"/>
      <c r="H995" s="333"/>
      <c r="I995" s="333"/>
      <c r="J995" s="333"/>
      <c r="K995" s="333"/>
      <c r="L995" s="333"/>
      <c r="M995" s="333"/>
    </row>
    <row r="996" spans="2:13">
      <c r="B996" s="531"/>
      <c r="C996" s="333"/>
      <c r="D996" s="333"/>
      <c r="E996" s="333"/>
      <c r="F996" s="333"/>
      <c r="G996" s="333"/>
      <c r="H996" s="333"/>
      <c r="I996" s="333"/>
      <c r="J996" s="333"/>
      <c r="K996" s="333"/>
      <c r="L996" s="333"/>
      <c r="M996" s="333"/>
    </row>
    <row r="997" spans="2:13">
      <c r="B997" s="531"/>
      <c r="C997" s="333"/>
      <c r="D997" s="333"/>
      <c r="E997" s="333"/>
      <c r="F997" s="333"/>
      <c r="G997" s="333"/>
      <c r="H997" s="333"/>
      <c r="I997" s="333"/>
      <c r="J997" s="333"/>
      <c r="K997" s="333"/>
      <c r="L997" s="333"/>
      <c r="M997" s="333"/>
    </row>
    <row r="998" spans="2:13">
      <c r="B998" s="531"/>
      <c r="C998" s="333"/>
      <c r="D998" s="333"/>
      <c r="E998" s="333"/>
      <c r="F998" s="333"/>
      <c r="G998" s="333"/>
      <c r="H998" s="333"/>
      <c r="I998" s="333"/>
      <c r="J998" s="333"/>
      <c r="K998" s="333"/>
      <c r="L998" s="333"/>
      <c r="M998" s="333"/>
    </row>
    <row r="999" spans="2:13">
      <c r="B999" s="531"/>
      <c r="C999" s="333"/>
      <c r="D999" s="333"/>
      <c r="E999" s="333"/>
      <c r="F999" s="333"/>
      <c r="G999" s="333"/>
      <c r="H999" s="333"/>
      <c r="I999" s="333"/>
      <c r="J999" s="333"/>
      <c r="K999" s="333"/>
      <c r="L999" s="333"/>
      <c r="M999" s="333"/>
    </row>
    <row r="1000" spans="2:13">
      <c r="B1000" s="531"/>
      <c r="C1000" s="333"/>
      <c r="D1000" s="333"/>
      <c r="E1000" s="333"/>
      <c r="F1000" s="333"/>
      <c r="G1000" s="333"/>
      <c r="H1000" s="333"/>
      <c r="I1000" s="333"/>
      <c r="J1000" s="333"/>
      <c r="K1000" s="333"/>
      <c r="L1000" s="333"/>
      <c r="M1000" s="333"/>
    </row>
    <row r="1001" spans="2:13">
      <c r="B1001" s="531"/>
      <c r="C1001" s="333"/>
      <c r="D1001" s="333"/>
      <c r="E1001" s="333"/>
      <c r="F1001" s="333"/>
      <c r="G1001" s="333"/>
      <c r="H1001" s="333"/>
      <c r="I1001" s="333"/>
      <c r="J1001" s="333"/>
      <c r="K1001" s="333"/>
      <c r="L1001" s="333"/>
      <c r="M1001" s="333"/>
    </row>
    <row r="1002" spans="2:13">
      <c r="B1002" s="531"/>
      <c r="C1002" s="333"/>
      <c r="D1002" s="333"/>
      <c r="E1002" s="333"/>
      <c r="F1002" s="333"/>
      <c r="G1002" s="333"/>
      <c r="H1002" s="333"/>
      <c r="I1002" s="333"/>
      <c r="J1002" s="333"/>
      <c r="K1002" s="333"/>
      <c r="L1002" s="333"/>
      <c r="M1002" s="333"/>
    </row>
    <row r="1003" spans="2:13">
      <c r="B1003" s="531"/>
      <c r="C1003" s="333"/>
      <c r="D1003" s="333"/>
      <c r="E1003" s="333"/>
      <c r="F1003" s="333"/>
      <c r="G1003" s="333"/>
      <c r="H1003" s="333"/>
      <c r="I1003" s="333"/>
      <c r="J1003" s="333"/>
      <c r="K1003" s="333"/>
      <c r="L1003" s="333"/>
      <c r="M1003" s="333"/>
    </row>
    <row r="1004" spans="2:13">
      <c r="B1004" s="531"/>
      <c r="C1004" s="333"/>
      <c r="D1004" s="333"/>
      <c r="E1004" s="333"/>
      <c r="F1004" s="333"/>
      <c r="G1004" s="333"/>
      <c r="H1004" s="333"/>
      <c r="I1004" s="333"/>
      <c r="J1004" s="333"/>
      <c r="K1004" s="333"/>
      <c r="L1004" s="333"/>
      <c r="M1004" s="333"/>
    </row>
    <row r="1005" spans="2:13">
      <c r="B1005" s="531"/>
      <c r="C1005" s="333"/>
      <c r="D1005" s="333"/>
      <c r="E1005" s="333"/>
      <c r="F1005" s="333"/>
      <c r="G1005" s="333"/>
      <c r="H1005" s="333"/>
      <c r="I1005" s="333"/>
      <c r="J1005" s="333"/>
      <c r="K1005" s="333"/>
      <c r="L1005" s="333"/>
      <c r="M1005" s="333"/>
    </row>
    <row r="1006" spans="2:13">
      <c r="B1006" s="531"/>
      <c r="C1006" s="333"/>
      <c r="D1006" s="333"/>
      <c r="E1006" s="333"/>
      <c r="F1006" s="333"/>
      <c r="G1006" s="333"/>
      <c r="H1006" s="333"/>
      <c r="I1006" s="333"/>
      <c r="J1006" s="333"/>
      <c r="K1006" s="333"/>
      <c r="L1006" s="333"/>
      <c r="M1006" s="333"/>
    </row>
    <row r="1007" spans="2:13">
      <c r="B1007" s="531"/>
      <c r="C1007" s="333"/>
      <c r="D1007" s="333"/>
      <c r="E1007" s="333"/>
      <c r="F1007" s="333"/>
      <c r="G1007" s="333"/>
      <c r="H1007" s="333"/>
      <c r="I1007" s="333"/>
      <c r="J1007" s="333"/>
      <c r="K1007" s="333"/>
      <c r="L1007" s="333"/>
      <c r="M1007" s="333"/>
    </row>
    <row r="1008" spans="2:13">
      <c r="B1008" s="531"/>
      <c r="C1008" s="333"/>
      <c r="D1008" s="333"/>
      <c r="E1008" s="333"/>
      <c r="F1008" s="333"/>
      <c r="G1008" s="333"/>
      <c r="H1008" s="333"/>
      <c r="I1008" s="333"/>
      <c r="J1008" s="333"/>
      <c r="K1008" s="333"/>
      <c r="L1008" s="333"/>
      <c r="M1008" s="333"/>
    </row>
    <row r="1009" spans="2:13">
      <c r="B1009" s="531"/>
      <c r="C1009" s="333"/>
      <c r="D1009" s="333"/>
      <c r="E1009" s="333"/>
      <c r="F1009" s="333"/>
      <c r="G1009" s="333"/>
      <c r="H1009" s="333"/>
      <c r="I1009" s="333"/>
      <c r="J1009" s="333"/>
      <c r="K1009" s="333"/>
      <c r="L1009" s="333"/>
      <c r="M1009" s="333"/>
    </row>
    <row r="1010" spans="2:13">
      <c r="B1010" s="531"/>
      <c r="C1010" s="333"/>
      <c r="D1010" s="333"/>
      <c r="E1010" s="333"/>
      <c r="F1010" s="333"/>
      <c r="G1010" s="333"/>
      <c r="H1010" s="333"/>
      <c r="I1010" s="333"/>
      <c r="J1010" s="333"/>
      <c r="K1010" s="333"/>
      <c r="L1010" s="333"/>
      <c r="M1010" s="333"/>
    </row>
    <row r="1011" spans="2:13">
      <c r="B1011" s="531"/>
      <c r="C1011" s="333"/>
      <c r="D1011" s="333"/>
      <c r="E1011" s="333"/>
      <c r="F1011" s="333"/>
      <c r="G1011" s="333"/>
      <c r="H1011" s="333"/>
      <c r="I1011" s="333"/>
      <c r="J1011" s="333"/>
      <c r="K1011" s="333"/>
      <c r="L1011" s="333"/>
      <c r="M1011" s="333"/>
    </row>
    <row r="1012" spans="2:13">
      <c r="B1012" s="531"/>
      <c r="C1012" s="333"/>
      <c r="D1012" s="333"/>
      <c r="E1012" s="333"/>
      <c r="F1012" s="333"/>
      <c r="G1012" s="333"/>
      <c r="H1012" s="333"/>
      <c r="I1012" s="333"/>
      <c r="J1012" s="333"/>
      <c r="K1012" s="333"/>
      <c r="L1012" s="333"/>
      <c r="M1012" s="333"/>
    </row>
    <row r="1013" spans="2:13">
      <c r="B1013" s="531"/>
      <c r="C1013" s="333"/>
      <c r="D1013" s="333"/>
      <c r="E1013" s="333"/>
      <c r="F1013" s="333"/>
      <c r="G1013" s="333"/>
      <c r="H1013" s="333"/>
      <c r="I1013" s="333"/>
      <c r="J1013" s="333"/>
      <c r="K1013" s="333"/>
      <c r="L1013" s="333"/>
      <c r="M1013" s="333"/>
    </row>
    <row r="1014" spans="2:13">
      <c r="B1014" s="531"/>
      <c r="C1014" s="333"/>
      <c r="D1014" s="333"/>
      <c r="E1014" s="333"/>
      <c r="F1014" s="333"/>
      <c r="G1014" s="333"/>
      <c r="H1014" s="333"/>
      <c r="I1014" s="333"/>
      <c r="J1014" s="333"/>
      <c r="K1014" s="333"/>
      <c r="L1014" s="333"/>
      <c r="M1014" s="333"/>
    </row>
    <row r="1015" spans="2:13">
      <c r="B1015" s="531"/>
      <c r="C1015" s="333"/>
      <c r="D1015" s="333"/>
      <c r="E1015" s="333"/>
      <c r="F1015" s="333"/>
      <c r="G1015" s="333"/>
      <c r="H1015" s="333"/>
      <c r="I1015" s="333"/>
      <c r="J1015" s="333"/>
      <c r="K1015" s="333"/>
      <c r="L1015" s="333"/>
      <c r="M1015" s="333"/>
    </row>
    <row r="1016" spans="2:13">
      <c r="B1016" s="531"/>
      <c r="C1016" s="333"/>
      <c r="D1016" s="333"/>
      <c r="E1016" s="333"/>
      <c r="F1016" s="333"/>
      <c r="G1016" s="333"/>
      <c r="H1016" s="333"/>
      <c r="I1016" s="333"/>
      <c r="J1016" s="333"/>
      <c r="K1016" s="333"/>
      <c r="L1016" s="333"/>
      <c r="M1016" s="333"/>
    </row>
    <row r="1017" spans="2:13">
      <c r="B1017" s="531"/>
      <c r="C1017" s="333"/>
      <c r="D1017" s="333"/>
      <c r="E1017" s="333"/>
      <c r="F1017" s="333"/>
      <c r="G1017" s="333"/>
      <c r="H1017" s="333"/>
      <c r="I1017" s="333"/>
      <c r="J1017" s="333"/>
      <c r="K1017" s="333"/>
      <c r="L1017" s="333"/>
      <c r="M1017" s="333"/>
    </row>
    <row r="1018" spans="2:13">
      <c r="B1018" s="531"/>
      <c r="C1018" s="333"/>
      <c r="D1018" s="333"/>
      <c r="E1018" s="333"/>
      <c r="F1018" s="333"/>
      <c r="G1018" s="333"/>
      <c r="H1018" s="333"/>
      <c r="I1018" s="333"/>
      <c r="J1018" s="333"/>
      <c r="K1018" s="333"/>
      <c r="L1018" s="333"/>
      <c r="M1018" s="333"/>
    </row>
    <row r="1019" spans="2:13">
      <c r="B1019" s="531"/>
      <c r="C1019" s="333"/>
      <c r="D1019" s="333"/>
      <c r="E1019" s="333"/>
      <c r="F1019" s="333"/>
      <c r="G1019" s="333"/>
      <c r="H1019" s="333"/>
      <c r="I1019" s="333"/>
      <c r="J1019" s="333"/>
      <c r="K1019" s="333"/>
      <c r="L1019" s="333"/>
      <c r="M1019" s="333"/>
    </row>
    <row r="1020" spans="2:13">
      <c r="B1020" s="531"/>
      <c r="C1020" s="333"/>
      <c r="D1020" s="333"/>
      <c r="E1020" s="333"/>
      <c r="F1020" s="333"/>
      <c r="G1020" s="333"/>
      <c r="H1020" s="333"/>
      <c r="I1020" s="333"/>
      <c r="J1020" s="333"/>
      <c r="K1020" s="333"/>
      <c r="L1020" s="333"/>
      <c r="M1020" s="333"/>
    </row>
    <row r="1021" spans="2:13">
      <c r="B1021" s="531"/>
      <c r="C1021" s="333"/>
      <c r="D1021" s="333"/>
      <c r="E1021" s="333"/>
      <c r="F1021" s="333"/>
      <c r="G1021" s="333"/>
      <c r="H1021" s="333"/>
      <c r="I1021" s="333"/>
      <c r="J1021" s="333"/>
      <c r="K1021" s="333"/>
      <c r="L1021" s="333"/>
      <c r="M1021" s="333"/>
    </row>
    <row r="1022" spans="2:13">
      <c r="B1022" s="531"/>
      <c r="C1022" s="333"/>
      <c r="D1022" s="333"/>
      <c r="E1022" s="333"/>
      <c r="F1022" s="333"/>
      <c r="G1022" s="333"/>
      <c r="H1022" s="333"/>
      <c r="I1022" s="333"/>
      <c r="J1022" s="333"/>
      <c r="K1022" s="333"/>
      <c r="L1022" s="333"/>
      <c r="M1022" s="333"/>
    </row>
    <row r="1023" spans="2:13">
      <c r="B1023" s="531"/>
      <c r="C1023" s="333"/>
      <c r="D1023" s="333"/>
      <c r="E1023" s="333"/>
      <c r="F1023" s="333"/>
      <c r="G1023" s="333"/>
      <c r="H1023" s="333"/>
      <c r="I1023" s="333"/>
      <c r="J1023" s="333"/>
      <c r="K1023" s="333"/>
      <c r="L1023" s="333"/>
      <c r="M1023" s="333"/>
    </row>
    <row r="1024" spans="2:13">
      <c r="B1024" s="531"/>
      <c r="C1024" s="333"/>
      <c r="D1024" s="333"/>
      <c r="E1024" s="333"/>
      <c r="F1024" s="333"/>
      <c r="G1024" s="333"/>
      <c r="H1024" s="333"/>
      <c r="I1024" s="333"/>
      <c r="J1024" s="333"/>
      <c r="K1024" s="333"/>
      <c r="L1024" s="333"/>
      <c r="M1024" s="333"/>
    </row>
    <row r="1025" spans="2:13">
      <c r="B1025" s="531"/>
      <c r="C1025" s="333"/>
      <c r="D1025" s="333"/>
      <c r="E1025" s="333"/>
      <c r="F1025" s="333"/>
      <c r="G1025" s="333"/>
      <c r="H1025" s="333"/>
      <c r="I1025" s="333"/>
      <c r="J1025" s="333"/>
      <c r="K1025" s="333"/>
      <c r="L1025" s="333"/>
      <c r="M1025" s="333"/>
    </row>
    <row r="1026" spans="2:13">
      <c r="B1026" s="531"/>
      <c r="C1026" s="333"/>
      <c r="D1026" s="333"/>
      <c r="E1026" s="333"/>
      <c r="F1026" s="333"/>
      <c r="G1026" s="333"/>
      <c r="H1026" s="333"/>
      <c r="I1026" s="333"/>
      <c r="J1026" s="333"/>
      <c r="K1026" s="333"/>
      <c r="L1026" s="333"/>
      <c r="M1026" s="333"/>
    </row>
    <row r="1027" spans="2:13">
      <c r="B1027" s="531"/>
      <c r="C1027" s="333"/>
      <c r="D1027" s="333"/>
      <c r="E1027" s="333"/>
      <c r="F1027" s="333"/>
      <c r="G1027" s="333"/>
      <c r="H1027" s="333"/>
      <c r="I1027" s="333"/>
      <c r="J1027" s="333"/>
      <c r="K1027" s="333"/>
      <c r="L1027" s="333"/>
      <c r="M1027" s="333"/>
    </row>
    <row r="1028" spans="2:13">
      <c r="B1028" s="531"/>
      <c r="C1028" s="333"/>
      <c r="D1028" s="333"/>
      <c r="E1028" s="333"/>
      <c r="F1028" s="333"/>
      <c r="G1028" s="333"/>
      <c r="H1028" s="333"/>
      <c r="I1028" s="333"/>
      <c r="J1028" s="333"/>
      <c r="K1028" s="333"/>
      <c r="L1028" s="333"/>
      <c r="M1028" s="333"/>
    </row>
    <row r="1029" spans="2:13">
      <c r="B1029" s="531"/>
      <c r="C1029" s="333"/>
      <c r="D1029" s="333"/>
      <c r="E1029" s="333"/>
      <c r="F1029" s="333"/>
      <c r="G1029" s="333"/>
      <c r="H1029" s="333"/>
      <c r="I1029" s="333"/>
      <c r="J1029" s="333"/>
      <c r="K1029" s="333"/>
      <c r="L1029" s="333"/>
      <c r="M1029" s="333"/>
    </row>
    <row r="1030" spans="2:13">
      <c r="B1030" s="531"/>
      <c r="C1030" s="333"/>
      <c r="D1030" s="333"/>
      <c r="E1030" s="333"/>
      <c r="F1030" s="333"/>
      <c r="G1030" s="333"/>
      <c r="H1030" s="333"/>
      <c r="I1030" s="333"/>
      <c r="J1030" s="333"/>
      <c r="K1030" s="333"/>
      <c r="L1030" s="333"/>
      <c r="M1030" s="333"/>
    </row>
    <row r="1031" spans="2:13">
      <c r="B1031" s="531"/>
      <c r="C1031" s="333"/>
      <c r="D1031" s="333"/>
      <c r="E1031" s="333"/>
      <c r="F1031" s="333"/>
      <c r="G1031" s="333"/>
      <c r="H1031" s="333"/>
      <c r="I1031" s="333"/>
      <c r="J1031" s="333"/>
      <c r="K1031" s="333"/>
      <c r="L1031" s="333"/>
      <c r="M1031" s="333"/>
    </row>
    <row r="1032" spans="2:13">
      <c r="B1032" s="531"/>
      <c r="C1032" s="333"/>
      <c r="D1032" s="333"/>
      <c r="E1032" s="333"/>
      <c r="F1032" s="333"/>
      <c r="G1032" s="333"/>
      <c r="H1032" s="333"/>
      <c r="I1032" s="333"/>
      <c r="J1032" s="333"/>
      <c r="K1032" s="333"/>
      <c r="L1032" s="333"/>
      <c r="M1032" s="333"/>
    </row>
    <row r="1033" spans="2:13">
      <c r="B1033" s="531"/>
      <c r="C1033" s="333"/>
      <c r="D1033" s="333"/>
      <c r="E1033" s="333"/>
      <c r="F1033" s="333"/>
      <c r="G1033" s="333"/>
      <c r="H1033" s="333"/>
      <c r="I1033" s="333"/>
      <c r="J1033" s="333"/>
      <c r="K1033" s="333"/>
      <c r="L1033" s="333"/>
      <c r="M1033" s="333"/>
    </row>
    <row r="1034" spans="2:13">
      <c r="B1034" s="531"/>
      <c r="C1034" s="333"/>
      <c r="D1034" s="333"/>
      <c r="E1034" s="333"/>
      <c r="F1034" s="333"/>
      <c r="G1034" s="333"/>
      <c r="H1034" s="333"/>
      <c r="I1034" s="333"/>
      <c r="J1034" s="333"/>
      <c r="K1034" s="333"/>
      <c r="L1034" s="333"/>
      <c r="M1034" s="333"/>
    </row>
    <row r="1035" spans="2:13">
      <c r="B1035" s="531"/>
      <c r="C1035" s="333"/>
      <c r="D1035" s="333"/>
      <c r="E1035" s="333"/>
      <c r="F1035" s="333"/>
      <c r="G1035" s="333"/>
      <c r="H1035" s="333"/>
      <c r="I1035" s="333"/>
      <c r="J1035" s="333"/>
      <c r="K1035" s="333"/>
      <c r="L1035" s="333"/>
      <c r="M1035" s="333"/>
    </row>
    <row r="1036" spans="2:13">
      <c r="B1036" s="531"/>
      <c r="C1036" s="333"/>
      <c r="D1036" s="333"/>
      <c r="E1036" s="333"/>
      <c r="F1036" s="333"/>
      <c r="G1036" s="333"/>
      <c r="H1036" s="333"/>
      <c r="I1036" s="333"/>
      <c r="J1036" s="333"/>
      <c r="K1036" s="333"/>
      <c r="L1036" s="333"/>
      <c r="M1036" s="333"/>
    </row>
    <row r="1037" spans="2:13">
      <c r="B1037" s="531"/>
      <c r="C1037" s="333"/>
      <c r="D1037" s="333"/>
      <c r="E1037" s="333"/>
      <c r="F1037" s="333"/>
      <c r="G1037" s="333"/>
      <c r="H1037" s="333"/>
      <c r="I1037" s="333"/>
      <c r="J1037" s="333"/>
      <c r="K1037" s="333"/>
      <c r="L1037" s="333"/>
      <c r="M1037" s="333"/>
    </row>
    <row r="1038" spans="2:13">
      <c r="B1038" s="531"/>
      <c r="C1038" s="333"/>
      <c r="D1038" s="333"/>
      <c r="E1038" s="333"/>
      <c r="F1038" s="333"/>
      <c r="G1038" s="333"/>
      <c r="H1038" s="333"/>
      <c r="I1038" s="333"/>
      <c r="J1038" s="333"/>
      <c r="K1038" s="333"/>
      <c r="L1038" s="333"/>
      <c r="M1038" s="333"/>
    </row>
    <row r="1039" spans="2:13">
      <c r="B1039" s="531"/>
      <c r="C1039" s="333"/>
      <c r="D1039" s="333"/>
      <c r="E1039" s="333"/>
      <c r="F1039" s="333"/>
      <c r="G1039" s="333"/>
      <c r="H1039" s="333"/>
      <c r="I1039" s="333"/>
      <c r="J1039" s="333"/>
      <c r="K1039" s="333"/>
      <c r="L1039" s="333"/>
      <c r="M1039" s="333"/>
    </row>
    <row r="1040" spans="2:13">
      <c r="B1040" s="531"/>
      <c r="C1040" s="333"/>
      <c r="D1040" s="333"/>
      <c r="E1040" s="333"/>
      <c r="F1040" s="333"/>
      <c r="G1040" s="333"/>
      <c r="H1040" s="333"/>
      <c r="I1040" s="333"/>
      <c r="J1040" s="333"/>
      <c r="K1040" s="333"/>
      <c r="L1040" s="333"/>
      <c r="M1040" s="333"/>
    </row>
    <row r="1041" spans="2:13">
      <c r="B1041" s="531"/>
      <c r="C1041" s="333"/>
      <c r="D1041" s="333"/>
      <c r="E1041" s="333"/>
      <c r="F1041" s="333"/>
      <c r="G1041" s="333"/>
      <c r="H1041" s="333"/>
      <c r="I1041" s="333"/>
      <c r="J1041" s="333"/>
      <c r="K1041" s="333"/>
      <c r="L1041" s="333"/>
      <c r="M1041" s="333"/>
    </row>
    <row r="1042" spans="2:13">
      <c r="B1042" s="531"/>
      <c r="C1042" s="333"/>
      <c r="D1042" s="333"/>
      <c r="E1042" s="333"/>
      <c r="F1042" s="333"/>
      <c r="G1042" s="333"/>
      <c r="H1042" s="333"/>
      <c r="I1042" s="333"/>
      <c r="J1042" s="333"/>
      <c r="K1042" s="333"/>
      <c r="L1042" s="333"/>
      <c r="M1042" s="333"/>
    </row>
    <row r="1043" spans="2:13">
      <c r="B1043" s="531"/>
      <c r="C1043" s="333"/>
      <c r="D1043" s="333"/>
      <c r="E1043" s="333"/>
      <c r="F1043" s="333"/>
      <c r="G1043" s="333"/>
      <c r="H1043" s="333"/>
      <c r="I1043" s="333"/>
      <c r="J1043" s="333"/>
      <c r="K1043" s="333"/>
      <c r="L1043" s="333"/>
      <c r="M1043" s="333"/>
    </row>
    <row r="1044" spans="2:13">
      <c r="B1044" s="531"/>
      <c r="C1044" s="333"/>
      <c r="D1044" s="333"/>
      <c r="E1044" s="333"/>
      <c r="F1044" s="333"/>
      <c r="G1044" s="333"/>
      <c r="H1044" s="333"/>
      <c r="I1044" s="333"/>
      <c r="J1044" s="333"/>
      <c r="K1044" s="333"/>
      <c r="L1044" s="333"/>
      <c r="M1044" s="333"/>
    </row>
    <row r="1045" spans="2:13">
      <c r="B1045" s="531"/>
      <c r="C1045" s="333"/>
      <c r="D1045" s="333"/>
      <c r="E1045" s="333"/>
      <c r="F1045" s="333"/>
      <c r="G1045" s="333"/>
      <c r="H1045" s="333"/>
      <c r="I1045" s="333"/>
      <c r="J1045" s="333"/>
      <c r="K1045" s="333"/>
      <c r="L1045" s="333"/>
      <c r="M1045" s="333"/>
    </row>
    <row r="1046" spans="2:13">
      <c r="B1046" s="531"/>
      <c r="C1046" s="333"/>
      <c r="D1046" s="333"/>
      <c r="E1046" s="333"/>
      <c r="F1046" s="333"/>
      <c r="G1046" s="333"/>
      <c r="H1046" s="333"/>
      <c r="I1046" s="333"/>
      <c r="J1046" s="333"/>
      <c r="K1046" s="333"/>
      <c r="L1046" s="333"/>
      <c r="M1046" s="333"/>
    </row>
    <row r="1047" spans="2:13">
      <c r="B1047" s="531"/>
      <c r="C1047" s="333"/>
      <c r="D1047" s="333"/>
      <c r="E1047" s="333"/>
      <c r="F1047" s="333"/>
      <c r="G1047" s="333"/>
      <c r="H1047" s="333"/>
      <c r="I1047" s="333"/>
      <c r="J1047" s="333"/>
      <c r="K1047" s="333"/>
      <c r="L1047" s="333"/>
      <c r="M1047" s="333"/>
    </row>
    <row r="1048" spans="2:13">
      <c r="B1048" s="531"/>
      <c r="C1048" s="333"/>
      <c r="D1048" s="333"/>
      <c r="E1048" s="333"/>
      <c r="F1048" s="333"/>
      <c r="G1048" s="333"/>
      <c r="H1048" s="333"/>
      <c r="I1048" s="333"/>
      <c r="J1048" s="333"/>
      <c r="K1048" s="333"/>
      <c r="L1048" s="333"/>
      <c r="M1048" s="333"/>
    </row>
    <row r="1049" spans="2:13">
      <c r="B1049" s="531"/>
      <c r="C1049" s="333"/>
      <c r="D1049" s="333"/>
      <c r="E1049" s="333"/>
      <c r="F1049" s="333"/>
      <c r="G1049" s="333"/>
      <c r="H1049" s="333"/>
      <c r="I1049" s="333"/>
      <c r="J1049" s="333"/>
      <c r="K1049" s="333"/>
      <c r="L1049" s="333"/>
      <c r="M1049" s="333"/>
    </row>
    <row r="1050" spans="2:13">
      <c r="B1050" s="531"/>
      <c r="C1050" s="333"/>
      <c r="D1050" s="333"/>
      <c r="E1050" s="333"/>
      <c r="F1050" s="333"/>
      <c r="G1050" s="333"/>
      <c r="H1050" s="333"/>
      <c r="I1050" s="333"/>
      <c r="J1050" s="333"/>
      <c r="K1050" s="333"/>
      <c r="L1050" s="333"/>
      <c r="M1050" s="333"/>
    </row>
    <row r="1051" spans="2:13">
      <c r="B1051" s="531"/>
      <c r="C1051" s="333"/>
      <c r="D1051" s="333"/>
      <c r="E1051" s="333"/>
      <c r="F1051" s="333"/>
      <c r="G1051" s="333"/>
      <c r="H1051" s="333"/>
      <c r="I1051" s="333"/>
      <c r="J1051" s="333"/>
      <c r="K1051" s="333"/>
      <c r="L1051" s="333"/>
      <c r="M1051" s="333"/>
    </row>
    <row r="1052" spans="2:13">
      <c r="B1052" s="531"/>
      <c r="C1052" s="333"/>
      <c r="D1052" s="333"/>
      <c r="E1052" s="333"/>
      <c r="F1052" s="333"/>
      <c r="G1052" s="333"/>
      <c r="H1052" s="333"/>
      <c r="I1052" s="333"/>
      <c r="J1052" s="333"/>
      <c r="K1052" s="333"/>
      <c r="L1052" s="333"/>
      <c r="M1052" s="333"/>
    </row>
    <row r="1053" spans="2:13">
      <c r="B1053" s="531"/>
      <c r="C1053" s="333"/>
      <c r="D1053" s="333"/>
      <c r="E1053" s="333"/>
      <c r="F1053" s="333"/>
      <c r="G1053" s="333"/>
      <c r="H1053" s="333"/>
      <c r="I1053" s="333"/>
      <c r="J1053" s="333"/>
      <c r="K1053" s="333"/>
      <c r="L1053" s="333"/>
      <c r="M1053" s="333"/>
    </row>
    <row r="1054" spans="2:13">
      <c r="B1054" s="531"/>
      <c r="C1054" s="333"/>
      <c r="D1054" s="333"/>
      <c r="E1054" s="333"/>
      <c r="F1054" s="333"/>
      <c r="G1054" s="333"/>
      <c r="H1054" s="333"/>
      <c r="I1054" s="333"/>
      <c r="J1054" s="333"/>
      <c r="K1054" s="333"/>
      <c r="L1054" s="333"/>
      <c r="M1054" s="333"/>
    </row>
    <row r="1055" spans="2:13">
      <c r="B1055" s="531"/>
      <c r="C1055" s="333"/>
      <c r="D1055" s="333"/>
      <c r="E1055" s="333"/>
      <c r="F1055" s="333"/>
      <c r="G1055" s="333"/>
      <c r="H1055" s="333"/>
      <c r="I1055" s="333"/>
      <c r="J1055" s="333"/>
      <c r="K1055" s="333"/>
      <c r="L1055" s="333"/>
      <c r="M1055" s="333"/>
    </row>
    <row r="1056" spans="2:13">
      <c r="B1056" s="531"/>
      <c r="C1056" s="333"/>
      <c r="D1056" s="333"/>
      <c r="E1056" s="333"/>
      <c r="F1056" s="333"/>
      <c r="G1056" s="333"/>
      <c r="H1056" s="333"/>
      <c r="I1056" s="333"/>
      <c r="J1056" s="333"/>
      <c r="K1056" s="333"/>
      <c r="L1056" s="333"/>
      <c r="M1056" s="333"/>
    </row>
    <row r="1057" spans="2:13">
      <c r="B1057" s="531"/>
      <c r="C1057" s="333"/>
      <c r="D1057" s="333"/>
      <c r="E1057" s="333"/>
      <c r="F1057" s="333"/>
      <c r="G1057" s="333"/>
      <c r="H1057" s="333"/>
      <c r="I1057" s="333"/>
      <c r="J1057" s="333"/>
      <c r="K1057" s="333"/>
      <c r="L1057" s="333"/>
      <c r="M1057" s="333"/>
    </row>
    <row r="1058" spans="2:13">
      <c r="B1058" s="531"/>
      <c r="C1058" s="333"/>
      <c r="D1058" s="333"/>
      <c r="E1058" s="333"/>
      <c r="F1058" s="333"/>
      <c r="G1058" s="333"/>
      <c r="H1058" s="333"/>
      <c r="I1058" s="333"/>
      <c r="J1058" s="333"/>
      <c r="K1058" s="333"/>
      <c r="L1058" s="333"/>
      <c r="M1058" s="333"/>
    </row>
    <row r="1059" spans="2:13">
      <c r="B1059" s="531"/>
      <c r="C1059" s="333"/>
      <c r="D1059" s="333"/>
      <c r="E1059" s="333"/>
      <c r="F1059" s="333"/>
      <c r="G1059" s="333"/>
      <c r="H1059" s="333"/>
      <c r="I1059" s="333"/>
      <c r="J1059" s="333"/>
      <c r="K1059" s="333"/>
      <c r="L1059" s="333"/>
      <c r="M1059" s="333"/>
    </row>
    <row r="1060" spans="2:13">
      <c r="B1060" s="531"/>
      <c r="C1060" s="333"/>
      <c r="D1060" s="333"/>
      <c r="E1060" s="333"/>
      <c r="F1060" s="333"/>
      <c r="G1060" s="333"/>
      <c r="H1060" s="333"/>
      <c r="I1060" s="333"/>
      <c r="J1060" s="333"/>
      <c r="K1060" s="333"/>
      <c r="L1060" s="333"/>
      <c r="M1060" s="333"/>
    </row>
    <row r="1061" spans="2:13">
      <c r="B1061" s="531"/>
      <c r="C1061" s="333"/>
      <c r="D1061" s="333"/>
      <c r="E1061" s="333"/>
      <c r="F1061" s="333"/>
      <c r="G1061" s="333"/>
      <c r="H1061" s="333"/>
      <c r="I1061" s="333"/>
      <c r="J1061" s="333"/>
      <c r="K1061" s="333"/>
      <c r="L1061" s="333"/>
      <c r="M1061" s="333"/>
    </row>
    <row r="1062" spans="2:13">
      <c r="B1062" s="531"/>
      <c r="C1062" s="333"/>
      <c r="D1062" s="333"/>
      <c r="E1062" s="333"/>
      <c r="F1062" s="333"/>
      <c r="G1062" s="333"/>
      <c r="H1062" s="333"/>
      <c r="I1062" s="333"/>
      <c r="J1062" s="333"/>
      <c r="K1062" s="333"/>
      <c r="L1062" s="333"/>
      <c r="M1062" s="333"/>
    </row>
    <row r="1063" spans="2:13">
      <c r="B1063" s="531"/>
      <c r="C1063" s="333"/>
      <c r="D1063" s="333"/>
      <c r="E1063" s="333"/>
      <c r="F1063" s="333"/>
      <c r="G1063" s="333"/>
      <c r="H1063" s="333"/>
      <c r="I1063" s="333"/>
      <c r="J1063" s="333"/>
      <c r="K1063" s="333"/>
      <c r="L1063" s="333"/>
      <c r="M1063" s="333"/>
    </row>
    <row r="1064" spans="2:13">
      <c r="B1064" s="531"/>
      <c r="C1064" s="333"/>
      <c r="D1064" s="333"/>
      <c r="E1064" s="333"/>
      <c r="F1064" s="333"/>
      <c r="G1064" s="333"/>
      <c r="H1064" s="333"/>
      <c r="I1064" s="333"/>
      <c r="J1064" s="333"/>
      <c r="K1064" s="333"/>
      <c r="L1064" s="333"/>
      <c r="M1064" s="333"/>
    </row>
    <row r="1065" spans="2:13">
      <c r="B1065" s="531"/>
      <c r="C1065" s="333"/>
      <c r="D1065" s="333"/>
      <c r="E1065" s="333"/>
      <c r="F1065" s="333"/>
      <c r="G1065" s="333"/>
      <c r="H1065" s="333"/>
      <c r="I1065" s="333"/>
      <c r="J1065" s="333"/>
      <c r="K1065" s="333"/>
      <c r="L1065" s="333"/>
      <c r="M1065" s="333"/>
    </row>
    <row r="1066" spans="2:13">
      <c r="B1066" s="531"/>
      <c r="C1066" s="333"/>
      <c r="D1066" s="333"/>
      <c r="E1066" s="333"/>
      <c r="F1066" s="333"/>
      <c r="G1066" s="333"/>
      <c r="H1066" s="333"/>
      <c r="I1066" s="333"/>
      <c r="J1066" s="333"/>
      <c r="K1066" s="333"/>
      <c r="L1066" s="333"/>
      <c r="M1066" s="333"/>
    </row>
    <row r="1067" spans="2:13">
      <c r="B1067" s="531"/>
      <c r="C1067" s="333"/>
      <c r="D1067" s="333"/>
      <c r="E1067" s="333"/>
      <c r="F1067" s="333"/>
      <c r="G1067" s="333"/>
      <c r="H1067" s="333"/>
      <c r="I1067" s="333"/>
      <c r="J1067" s="333"/>
      <c r="K1067" s="333"/>
      <c r="L1067" s="333"/>
      <c r="M1067" s="333"/>
    </row>
    <row r="1068" spans="2:13">
      <c r="B1068" s="531"/>
      <c r="C1068" s="333"/>
      <c r="D1068" s="333"/>
      <c r="E1068" s="333"/>
      <c r="F1068" s="333"/>
      <c r="G1068" s="333"/>
      <c r="H1068" s="333"/>
      <c r="I1068" s="333"/>
      <c r="J1068" s="333"/>
      <c r="K1068" s="333"/>
      <c r="L1068" s="333"/>
      <c r="M1068" s="333"/>
    </row>
    <row r="1069" spans="2:13">
      <c r="B1069" s="531"/>
      <c r="C1069" s="333"/>
      <c r="D1069" s="333"/>
      <c r="E1069" s="333"/>
      <c r="F1069" s="333"/>
      <c r="G1069" s="333"/>
      <c r="H1069" s="333"/>
      <c r="I1069" s="333"/>
      <c r="J1069" s="333"/>
      <c r="K1069" s="333"/>
      <c r="L1069" s="333"/>
      <c r="M1069" s="333"/>
    </row>
    <row r="1070" spans="2:13">
      <c r="B1070" s="531"/>
      <c r="C1070" s="333"/>
      <c r="D1070" s="333"/>
      <c r="E1070" s="333"/>
      <c r="F1070" s="333"/>
      <c r="G1070" s="333"/>
      <c r="H1070" s="333"/>
      <c r="I1070" s="333"/>
      <c r="J1070" s="333"/>
      <c r="K1070" s="333"/>
      <c r="L1070" s="333"/>
      <c r="M1070" s="333"/>
    </row>
    <row r="1071" spans="2:13">
      <c r="B1071" s="531"/>
      <c r="C1071" s="333"/>
      <c r="D1071" s="333"/>
      <c r="E1071" s="333"/>
      <c r="F1071" s="333"/>
      <c r="G1071" s="333"/>
      <c r="H1071" s="333"/>
      <c r="I1071" s="333"/>
      <c r="J1071" s="333"/>
      <c r="K1071" s="333"/>
      <c r="L1071" s="333"/>
      <c r="M1071" s="333"/>
    </row>
    <row r="1072" spans="2:13">
      <c r="B1072" s="531"/>
      <c r="C1072" s="333"/>
      <c r="D1072" s="333"/>
      <c r="E1072" s="333"/>
      <c r="F1072" s="333"/>
      <c r="G1072" s="333"/>
      <c r="H1072" s="333"/>
      <c r="I1072" s="333"/>
      <c r="J1072" s="333"/>
      <c r="K1072" s="333"/>
      <c r="L1072" s="333"/>
      <c r="M1072" s="333"/>
    </row>
    <row r="1073" spans="2:13">
      <c r="B1073" s="531"/>
      <c r="C1073" s="333"/>
      <c r="D1073" s="333"/>
      <c r="E1073" s="333"/>
      <c r="F1073" s="333"/>
      <c r="G1073" s="333"/>
      <c r="H1073" s="333"/>
      <c r="I1073" s="333"/>
      <c r="J1073" s="333"/>
      <c r="K1073" s="333"/>
      <c r="L1073" s="333"/>
      <c r="M1073" s="333"/>
    </row>
    <row r="1074" spans="2:13">
      <c r="B1074" s="531"/>
      <c r="C1074" s="333"/>
      <c r="D1074" s="333"/>
      <c r="E1074" s="333"/>
      <c r="F1074" s="333"/>
      <c r="G1074" s="333"/>
      <c r="H1074" s="333"/>
      <c r="I1074" s="333"/>
      <c r="J1074" s="333"/>
      <c r="K1074" s="333"/>
      <c r="L1074" s="333"/>
      <c r="M1074" s="333"/>
    </row>
    <row r="1075" spans="2:13">
      <c r="B1075" s="531"/>
      <c r="C1075" s="333"/>
      <c r="D1075" s="333"/>
      <c r="E1075" s="333"/>
      <c r="F1075" s="333"/>
      <c r="G1075" s="333"/>
      <c r="H1075" s="333"/>
      <c r="I1075" s="333"/>
      <c r="J1075" s="333"/>
      <c r="K1075" s="333"/>
      <c r="L1075" s="333"/>
      <c r="M1075" s="333"/>
    </row>
    <row r="1076" spans="2:13">
      <c r="B1076" s="531"/>
      <c r="C1076" s="333"/>
      <c r="D1076" s="333"/>
      <c r="E1076" s="333"/>
      <c r="F1076" s="333"/>
      <c r="G1076" s="333"/>
      <c r="H1076" s="333"/>
      <c r="I1076" s="333"/>
      <c r="J1076" s="333"/>
      <c r="K1076" s="333"/>
      <c r="L1076" s="333"/>
      <c r="M1076" s="333"/>
    </row>
    <row r="1077" spans="2:13">
      <c r="B1077" s="531"/>
      <c r="C1077" s="333"/>
      <c r="D1077" s="333"/>
      <c r="E1077" s="333"/>
      <c r="F1077" s="333"/>
      <c r="G1077" s="333"/>
      <c r="H1077" s="333"/>
      <c r="I1077" s="333"/>
      <c r="J1077" s="333"/>
      <c r="K1077" s="333"/>
      <c r="L1077" s="333"/>
      <c r="M1077" s="333"/>
    </row>
    <row r="1078" spans="2:13">
      <c r="B1078" s="531"/>
      <c r="C1078" s="333"/>
      <c r="D1078" s="333"/>
      <c r="E1078" s="333"/>
      <c r="F1078" s="333"/>
      <c r="G1078" s="333"/>
      <c r="H1078" s="333"/>
      <c r="I1078" s="333"/>
      <c r="J1078" s="333"/>
      <c r="K1078" s="333"/>
      <c r="L1078" s="333"/>
      <c r="M1078" s="333"/>
    </row>
    <row r="1079" spans="2:13">
      <c r="B1079" s="531"/>
      <c r="C1079" s="333"/>
      <c r="D1079" s="333"/>
      <c r="E1079" s="333"/>
      <c r="F1079" s="333"/>
      <c r="G1079" s="333"/>
      <c r="H1079" s="333"/>
      <c r="I1079" s="333"/>
      <c r="J1079" s="333"/>
      <c r="K1079" s="333"/>
      <c r="L1079" s="333"/>
      <c r="M1079" s="333"/>
    </row>
    <row r="1080" spans="2:13">
      <c r="B1080" s="531"/>
      <c r="C1080" s="333"/>
      <c r="D1080" s="333"/>
      <c r="E1080" s="333"/>
      <c r="F1080" s="333"/>
      <c r="G1080" s="333"/>
      <c r="H1080" s="333"/>
      <c r="I1080" s="333"/>
      <c r="J1080" s="333"/>
      <c r="K1080" s="333"/>
      <c r="L1080" s="333"/>
      <c r="M1080" s="333"/>
    </row>
    <row r="1081" spans="2:13">
      <c r="B1081" s="531"/>
      <c r="C1081" s="333"/>
      <c r="D1081" s="333"/>
      <c r="E1081" s="333"/>
      <c r="F1081" s="333"/>
      <c r="G1081" s="333"/>
      <c r="H1081" s="333"/>
      <c r="I1081" s="333"/>
      <c r="J1081" s="333"/>
      <c r="K1081" s="333"/>
      <c r="L1081" s="333"/>
      <c r="M1081" s="333"/>
    </row>
    <row r="1082" spans="2:13">
      <c r="B1082" s="531"/>
      <c r="C1082" s="333"/>
      <c r="D1082" s="333"/>
      <c r="E1082" s="333"/>
      <c r="F1082" s="333"/>
      <c r="G1082" s="333"/>
      <c r="H1082" s="333"/>
      <c r="I1082" s="333"/>
      <c r="J1082" s="333"/>
      <c r="K1082" s="333"/>
      <c r="L1082" s="333"/>
      <c r="M1082" s="333"/>
    </row>
    <row r="1083" spans="2:13">
      <c r="B1083" s="531"/>
      <c r="C1083" s="333"/>
      <c r="D1083" s="333"/>
      <c r="E1083" s="333"/>
      <c r="F1083" s="333"/>
      <c r="G1083" s="333"/>
      <c r="H1083" s="333"/>
      <c r="I1083" s="333"/>
      <c r="J1083" s="333"/>
      <c r="K1083" s="333"/>
      <c r="L1083" s="333"/>
      <c r="M1083" s="333"/>
    </row>
    <row r="1084" spans="2:13">
      <c r="B1084" s="531"/>
      <c r="C1084" s="333"/>
      <c r="D1084" s="333"/>
      <c r="E1084" s="333"/>
      <c r="F1084" s="333"/>
      <c r="G1084" s="333"/>
      <c r="H1084" s="333"/>
      <c r="I1084" s="333"/>
      <c r="J1084" s="333"/>
      <c r="K1084" s="333"/>
      <c r="L1084" s="333"/>
      <c r="M1084" s="333"/>
    </row>
    <row r="1085" spans="2:13">
      <c r="B1085" s="531"/>
      <c r="C1085" s="333"/>
      <c r="D1085" s="333"/>
      <c r="E1085" s="333"/>
      <c r="F1085" s="333"/>
      <c r="G1085" s="333"/>
      <c r="H1085" s="333"/>
      <c r="I1085" s="333"/>
      <c r="J1085" s="333"/>
      <c r="K1085" s="333"/>
      <c r="L1085" s="333"/>
      <c r="M1085" s="333"/>
    </row>
    <row r="1086" spans="2:13">
      <c r="B1086" s="531"/>
      <c r="C1086" s="333"/>
      <c r="D1086" s="333"/>
      <c r="E1086" s="333"/>
      <c r="F1086" s="333"/>
      <c r="G1086" s="333"/>
      <c r="H1086" s="333"/>
      <c r="I1086" s="333"/>
      <c r="J1086" s="333"/>
      <c r="K1086" s="333"/>
      <c r="L1086" s="333"/>
      <c r="M1086" s="333"/>
    </row>
    <row r="1087" spans="2:13">
      <c r="B1087" s="531"/>
      <c r="C1087" s="333"/>
      <c r="D1087" s="333"/>
      <c r="E1087" s="333"/>
      <c r="F1087" s="333"/>
      <c r="G1087" s="333"/>
      <c r="H1087" s="333"/>
      <c r="I1087" s="333"/>
      <c r="J1087" s="333"/>
      <c r="K1087" s="333"/>
      <c r="L1087" s="333"/>
      <c r="M1087" s="333"/>
    </row>
    <row r="1088" spans="2:13">
      <c r="B1088" s="531"/>
      <c r="C1088" s="333"/>
      <c r="D1088" s="333"/>
      <c r="E1088" s="333"/>
      <c r="F1088" s="333"/>
      <c r="G1088" s="333"/>
      <c r="H1088" s="333"/>
      <c r="I1088" s="333"/>
      <c r="J1088" s="333"/>
      <c r="K1088" s="333"/>
      <c r="L1088" s="333"/>
      <c r="M1088" s="333"/>
    </row>
    <row r="1089" spans="2:13">
      <c r="B1089" s="531"/>
      <c r="C1089" s="333"/>
      <c r="D1089" s="333"/>
      <c r="E1089" s="333"/>
      <c r="F1089" s="333"/>
      <c r="G1089" s="333"/>
      <c r="H1089" s="333"/>
      <c r="I1089" s="333"/>
      <c r="J1089" s="333"/>
      <c r="K1089" s="333"/>
      <c r="L1089" s="333"/>
      <c r="M1089" s="333"/>
    </row>
    <row r="1090" spans="2:13">
      <c r="B1090" s="531"/>
      <c r="C1090" s="333"/>
      <c r="D1090" s="333"/>
      <c r="E1090" s="333"/>
      <c r="F1090" s="333"/>
      <c r="G1090" s="333"/>
      <c r="H1090" s="333"/>
      <c r="I1090" s="333"/>
      <c r="J1090" s="333"/>
      <c r="K1090" s="333"/>
      <c r="L1090" s="333"/>
      <c r="M1090" s="333"/>
    </row>
    <row r="1091" spans="2:13">
      <c r="B1091" s="531"/>
      <c r="C1091" s="333"/>
      <c r="D1091" s="333"/>
      <c r="E1091" s="333"/>
      <c r="F1091" s="333"/>
      <c r="G1091" s="333"/>
      <c r="H1091" s="333"/>
      <c r="I1091" s="333"/>
      <c r="J1091" s="333"/>
      <c r="K1091" s="333"/>
      <c r="L1091" s="333"/>
      <c r="M1091" s="333"/>
    </row>
    <row r="1092" spans="2:13">
      <c r="B1092" s="531"/>
      <c r="C1092" s="333"/>
      <c r="D1092" s="333"/>
      <c r="E1092" s="333"/>
      <c r="F1092" s="333"/>
      <c r="G1092" s="333"/>
      <c r="H1092" s="333"/>
      <c r="I1092" s="333"/>
      <c r="J1092" s="333"/>
      <c r="K1092" s="333"/>
      <c r="L1092" s="333"/>
      <c r="M1092" s="333"/>
    </row>
    <row r="1093" spans="2:13">
      <c r="B1093" s="531"/>
      <c r="C1093" s="333"/>
      <c r="D1093" s="333"/>
      <c r="E1093" s="333"/>
      <c r="F1093" s="333"/>
      <c r="G1093" s="333"/>
      <c r="H1093" s="333"/>
      <c r="I1093" s="333"/>
      <c r="J1093" s="333"/>
      <c r="K1093" s="333"/>
      <c r="L1093" s="333"/>
      <c r="M1093" s="333"/>
    </row>
    <row r="1094" spans="2:13">
      <c r="B1094" s="531"/>
      <c r="C1094" s="333"/>
      <c r="D1094" s="333"/>
      <c r="E1094" s="333"/>
      <c r="F1094" s="333"/>
      <c r="G1094" s="333"/>
      <c r="H1094" s="333"/>
      <c r="I1094" s="333"/>
      <c r="J1094" s="333"/>
      <c r="K1094" s="333"/>
      <c r="L1094" s="333"/>
      <c r="M1094" s="333"/>
    </row>
    <row r="1095" spans="2:13">
      <c r="B1095" s="531"/>
      <c r="C1095" s="333"/>
      <c r="D1095" s="333"/>
      <c r="E1095" s="333"/>
      <c r="F1095" s="333"/>
      <c r="G1095" s="333"/>
      <c r="H1095" s="333"/>
      <c r="I1095" s="333"/>
      <c r="J1095" s="333"/>
      <c r="K1095" s="333"/>
      <c r="L1095" s="333"/>
      <c r="M1095" s="333"/>
    </row>
    <row r="1096" spans="2:13">
      <c r="B1096" s="531"/>
      <c r="C1096" s="333"/>
      <c r="D1096" s="333"/>
      <c r="E1096" s="333"/>
      <c r="F1096" s="333"/>
      <c r="G1096" s="333"/>
      <c r="H1096" s="333"/>
      <c r="I1096" s="333"/>
      <c r="J1096" s="333"/>
      <c r="K1096" s="333"/>
      <c r="L1096" s="333"/>
      <c r="M1096" s="333"/>
    </row>
    <row r="1097" spans="2:13">
      <c r="B1097" s="531"/>
      <c r="C1097" s="333"/>
      <c r="D1097" s="333"/>
      <c r="E1097" s="333"/>
      <c r="F1097" s="333"/>
      <c r="G1097" s="333"/>
      <c r="H1097" s="333"/>
      <c r="I1097" s="333"/>
      <c r="J1097" s="333"/>
      <c r="K1097" s="333"/>
      <c r="L1097" s="333"/>
      <c r="M1097" s="333"/>
    </row>
    <row r="1098" spans="2:13">
      <c r="B1098" s="531"/>
      <c r="C1098" s="333"/>
      <c r="D1098" s="333"/>
      <c r="E1098" s="333"/>
      <c r="F1098" s="333"/>
      <c r="G1098" s="333"/>
      <c r="H1098" s="333"/>
      <c r="I1098" s="333"/>
      <c r="J1098" s="333"/>
      <c r="K1098" s="333"/>
      <c r="L1098" s="333"/>
      <c r="M1098" s="333"/>
    </row>
    <row r="1099" spans="2:13">
      <c r="B1099" s="531"/>
      <c r="C1099" s="333"/>
      <c r="D1099" s="333"/>
      <c r="E1099" s="333"/>
      <c r="F1099" s="333"/>
      <c r="G1099" s="333"/>
      <c r="H1099" s="333"/>
      <c r="I1099" s="333"/>
      <c r="J1099" s="333"/>
      <c r="K1099" s="333"/>
      <c r="L1099" s="333"/>
      <c r="M1099" s="333"/>
    </row>
    <row r="1100" spans="2:13">
      <c r="B1100" s="531"/>
      <c r="C1100" s="333"/>
      <c r="D1100" s="333"/>
      <c r="E1100" s="333"/>
      <c r="F1100" s="333"/>
      <c r="G1100" s="333"/>
      <c r="H1100" s="333"/>
      <c r="I1100" s="333"/>
      <c r="J1100" s="333"/>
      <c r="K1100" s="333"/>
      <c r="L1100" s="333"/>
      <c r="M1100" s="333"/>
    </row>
    <row r="1101" spans="2:13">
      <c r="B1101" s="531"/>
      <c r="C1101" s="333"/>
      <c r="D1101" s="333"/>
      <c r="E1101" s="333"/>
      <c r="F1101" s="333"/>
      <c r="G1101" s="333"/>
      <c r="H1101" s="333"/>
      <c r="I1101" s="333"/>
      <c r="J1101" s="333"/>
      <c r="K1101" s="333"/>
      <c r="L1101" s="333"/>
      <c r="M1101" s="333"/>
    </row>
    <row r="1102" spans="2:13">
      <c r="B1102" s="531"/>
      <c r="C1102" s="333"/>
      <c r="D1102" s="333"/>
      <c r="E1102" s="333"/>
      <c r="F1102" s="333"/>
      <c r="G1102" s="333"/>
      <c r="H1102" s="333"/>
      <c r="I1102" s="333"/>
      <c r="J1102" s="333"/>
      <c r="K1102" s="333"/>
      <c r="L1102" s="333"/>
      <c r="M1102" s="333"/>
    </row>
    <row r="1103" spans="2:13">
      <c r="B1103" s="531"/>
      <c r="C1103" s="333"/>
      <c r="D1103" s="333"/>
      <c r="E1103" s="333"/>
      <c r="F1103" s="333"/>
      <c r="G1103" s="333"/>
      <c r="H1103" s="333"/>
      <c r="I1103" s="333"/>
      <c r="J1103" s="333"/>
      <c r="K1103" s="333"/>
      <c r="L1103" s="333"/>
      <c r="M1103" s="333"/>
    </row>
    <row r="1104" spans="2:13">
      <c r="B1104" s="531"/>
      <c r="C1104" s="333"/>
      <c r="D1104" s="333"/>
      <c r="E1104" s="333"/>
      <c r="F1104" s="333"/>
      <c r="G1104" s="333"/>
      <c r="H1104" s="333"/>
      <c r="I1104" s="333"/>
      <c r="J1104" s="333"/>
      <c r="K1104" s="333"/>
      <c r="L1104" s="333"/>
      <c r="M1104" s="333"/>
    </row>
    <row r="1105" spans="2:13">
      <c r="B1105" s="531"/>
      <c r="C1105" s="333"/>
      <c r="D1105" s="333"/>
      <c r="E1105" s="333"/>
      <c r="F1105" s="333"/>
      <c r="G1105" s="333"/>
      <c r="H1105" s="333"/>
      <c r="I1105" s="333"/>
      <c r="J1105" s="333"/>
      <c r="K1105" s="333"/>
      <c r="L1105" s="333"/>
      <c r="M1105" s="333"/>
    </row>
    <row r="1106" spans="2:13">
      <c r="B1106" s="531"/>
      <c r="C1106" s="333"/>
      <c r="D1106" s="333"/>
      <c r="E1106" s="333"/>
      <c r="F1106" s="333"/>
      <c r="G1106" s="333"/>
      <c r="H1106" s="333"/>
      <c r="I1106" s="333"/>
      <c r="J1106" s="333"/>
      <c r="K1106" s="333"/>
      <c r="L1106" s="333"/>
      <c r="M1106" s="333"/>
    </row>
    <row r="1107" spans="2:13">
      <c r="B1107" s="531"/>
      <c r="C1107" s="333"/>
      <c r="D1107" s="333"/>
      <c r="E1107" s="333"/>
      <c r="F1107" s="333"/>
      <c r="G1107" s="333"/>
      <c r="H1107" s="333"/>
      <c r="I1107" s="333"/>
      <c r="J1107" s="333"/>
      <c r="K1107" s="333"/>
      <c r="L1107" s="333"/>
      <c r="M1107" s="333"/>
    </row>
    <row r="1108" spans="2:13">
      <c r="B1108" s="531"/>
      <c r="C1108" s="333"/>
      <c r="D1108" s="333"/>
      <c r="E1108" s="333"/>
      <c r="F1108" s="333"/>
      <c r="G1108" s="333"/>
      <c r="H1108" s="333"/>
      <c r="I1108" s="333"/>
      <c r="J1108" s="333"/>
      <c r="K1108" s="333"/>
      <c r="L1108" s="333"/>
      <c r="M1108" s="333"/>
    </row>
    <row r="1109" spans="2:13">
      <c r="B1109" s="531"/>
      <c r="C1109" s="333"/>
      <c r="D1109" s="333"/>
      <c r="E1109" s="333"/>
      <c r="F1109" s="333"/>
      <c r="G1109" s="333"/>
      <c r="H1109" s="333"/>
      <c r="I1109" s="333"/>
      <c r="J1109" s="333"/>
      <c r="K1109" s="333"/>
      <c r="L1109" s="333"/>
      <c r="M1109" s="333"/>
    </row>
    <row r="1110" spans="2:13">
      <c r="B1110" s="531"/>
      <c r="C1110" s="333"/>
      <c r="D1110" s="333"/>
      <c r="E1110" s="333"/>
      <c r="F1110" s="333"/>
      <c r="G1110" s="333"/>
      <c r="H1110" s="333"/>
      <c r="I1110" s="333"/>
      <c r="J1110" s="333"/>
      <c r="K1110" s="333"/>
      <c r="L1110" s="333"/>
      <c r="M1110" s="333"/>
    </row>
    <row r="1111" spans="2:13">
      <c r="B1111" s="531"/>
      <c r="C1111" s="333"/>
      <c r="D1111" s="333"/>
      <c r="E1111" s="333"/>
      <c r="F1111" s="333"/>
      <c r="G1111" s="333"/>
      <c r="H1111" s="333"/>
      <c r="I1111" s="333"/>
      <c r="J1111" s="333"/>
      <c r="K1111" s="333"/>
      <c r="L1111" s="333"/>
      <c r="M1111" s="333"/>
    </row>
    <row r="1112" spans="2:13">
      <c r="B1112" s="531"/>
      <c r="C1112" s="333"/>
      <c r="D1112" s="333"/>
      <c r="E1112" s="333"/>
      <c r="F1112" s="333"/>
      <c r="G1112" s="333"/>
      <c r="H1112" s="333"/>
      <c r="I1112" s="333"/>
      <c r="J1112" s="333"/>
      <c r="K1112" s="333"/>
      <c r="L1112" s="333"/>
      <c r="M1112" s="333"/>
    </row>
    <row r="1113" spans="2:13">
      <c r="B1113" s="531"/>
      <c r="C1113" s="333"/>
      <c r="D1113" s="333"/>
      <c r="E1113" s="333"/>
      <c r="F1113" s="333"/>
      <c r="G1113" s="333"/>
      <c r="H1113" s="333"/>
      <c r="I1113" s="333"/>
      <c r="J1113" s="333"/>
      <c r="K1113" s="333"/>
      <c r="L1113" s="333"/>
      <c r="M1113" s="333"/>
    </row>
    <row r="1114" spans="2:13">
      <c r="B1114" s="531"/>
      <c r="C1114" s="333"/>
      <c r="D1114" s="333"/>
      <c r="E1114" s="333"/>
      <c r="F1114" s="333"/>
      <c r="G1114" s="333"/>
      <c r="H1114" s="333"/>
      <c r="I1114" s="333"/>
      <c r="J1114" s="333"/>
      <c r="K1114" s="333"/>
      <c r="L1114" s="333"/>
      <c r="M1114" s="333"/>
    </row>
    <row r="1115" spans="2:13">
      <c r="B1115" s="531"/>
      <c r="C1115" s="333"/>
      <c r="D1115" s="333"/>
      <c r="E1115" s="333"/>
      <c r="F1115" s="333"/>
      <c r="G1115" s="333"/>
      <c r="H1115" s="333"/>
      <c r="I1115" s="333"/>
      <c r="J1115" s="333"/>
      <c r="K1115" s="333"/>
      <c r="L1115" s="333"/>
      <c r="M1115" s="333"/>
    </row>
    <row r="1116" spans="2:13">
      <c r="B1116" s="531"/>
      <c r="C1116" s="333"/>
      <c r="D1116" s="333"/>
      <c r="E1116" s="333"/>
      <c r="F1116" s="333"/>
      <c r="G1116" s="333"/>
      <c r="H1116" s="333"/>
      <c r="I1116" s="333"/>
      <c r="J1116" s="333"/>
      <c r="K1116" s="333"/>
      <c r="L1116" s="333"/>
      <c r="M1116" s="333"/>
    </row>
    <row r="1117" spans="2:13">
      <c r="B1117" s="531"/>
      <c r="C1117" s="333"/>
      <c r="D1117" s="333"/>
      <c r="E1117" s="333"/>
      <c r="F1117" s="333"/>
      <c r="G1117" s="333"/>
      <c r="H1117" s="333"/>
      <c r="I1117" s="333"/>
      <c r="J1117" s="333"/>
      <c r="K1117" s="333"/>
      <c r="L1117" s="333"/>
      <c r="M1117" s="333"/>
    </row>
    <row r="1118" spans="2:13">
      <c r="B1118" s="531"/>
      <c r="C1118" s="333"/>
      <c r="D1118" s="333"/>
      <c r="E1118" s="333"/>
      <c r="F1118" s="333"/>
      <c r="G1118" s="333"/>
      <c r="H1118" s="333"/>
      <c r="I1118" s="333"/>
      <c r="J1118" s="333"/>
      <c r="K1118" s="333"/>
      <c r="L1118" s="333"/>
      <c r="M1118" s="333"/>
    </row>
    <row r="1119" spans="2:13">
      <c r="B1119" s="531"/>
      <c r="C1119" s="333"/>
      <c r="D1119" s="333"/>
      <c r="E1119" s="333"/>
      <c r="F1119" s="333"/>
      <c r="G1119" s="333"/>
      <c r="H1119" s="333"/>
      <c r="I1119" s="333"/>
      <c r="J1119" s="333"/>
      <c r="K1119" s="333"/>
      <c r="L1119" s="333"/>
      <c r="M1119" s="333"/>
    </row>
    <row r="1120" spans="2:13">
      <c r="B1120" s="531"/>
      <c r="C1120" s="333"/>
      <c r="D1120" s="333"/>
      <c r="E1120" s="333"/>
      <c r="F1120" s="333"/>
      <c r="G1120" s="333"/>
      <c r="H1120" s="333"/>
      <c r="I1120" s="333"/>
      <c r="J1120" s="333"/>
      <c r="K1120" s="333"/>
      <c r="L1120" s="333"/>
      <c r="M1120" s="333"/>
    </row>
    <row r="1121" spans="2:13">
      <c r="B1121" s="531"/>
      <c r="C1121" s="333"/>
      <c r="D1121" s="333"/>
      <c r="E1121" s="333"/>
      <c r="F1121" s="333"/>
      <c r="G1121" s="333"/>
      <c r="H1121" s="333"/>
      <c r="I1121" s="333"/>
      <c r="J1121" s="333"/>
      <c r="K1121" s="333"/>
      <c r="L1121" s="333"/>
      <c r="M1121" s="333"/>
    </row>
    <row r="1122" spans="2:13">
      <c r="B1122" s="531"/>
      <c r="C1122" s="333"/>
      <c r="D1122" s="333"/>
      <c r="E1122" s="333"/>
      <c r="F1122" s="333"/>
      <c r="G1122" s="333"/>
      <c r="H1122" s="333"/>
      <c r="I1122" s="333"/>
      <c r="J1122" s="333"/>
      <c r="K1122" s="333"/>
      <c r="L1122" s="333"/>
      <c r="M1122" s="333"/>
    </row>
    <row r="1123" spans="2:13">
      <c r="B1123" s="531"/>
      <c r="C1123" s="333"/>
      <c r="D1123" s="333"/>
      <c r="E1123" s="333"/>
      <c r="F1123" s="333"/>
      <c r="G1123" s="333"/>
      <c r="H1123" s="333"/>
      <c r="I1123" s="333"/>
      <c r="J1123" s="333"/>
      <c r="K1123" s="333"/>
      <c r="L1123" s="333"/>
      <c r="M1123" s="333"/>
    </row>
    <row r="1124" spans="2:13">
      <c r="B1124" s="531"/>
      <c r="C1124" s="333"/>
      <c r="D1124" s="333"/>
      <c r="E1124" s="333"/>
      <c r="F1124" s="333"/>
      <c r="G1124" s="333"/>
      <c r="H1124" s="333"/>
      <c r="I1124" s="333"/>
      <c r="J1124" s="333"/>
      <c r="K1124" s="333"/>
      <c r="L1124" s="333"/>
      <c r="M1124" s="333"/>
    </row>
    <row r="1125" spans="2:13">
      <c r="B1125" s="531"/>
      <c r="C1125" s="333"/>
      <c r="D1125" s="333"/>
      <c r="E1125" s="333"/>
      <c r="F1125" s="333"/>
      <c r="G1125" s="333"/>
      <c r="H1125" s="333"/>
      <c r="I1125" s="333"/>
      <c r="J1125" s="333"/>
      <c r="K1125" s="333"/>
      <c r="L1125" s="333"/>
      <c r="M1125" s="333"/>
    </row>
    <row r="1126" spans="2:13">
      <c r="B1126" s="531"/>
      <c r="C1126" s="333"/>
      <c r="D1126" s="333"/>
      <c r="E1126" s="333"/>
      <c r="F1126" s="333"/>
      <c r="G1126" s="333"/>
      <c r="H1126" s="333"/>
      <c r="I1126" s="333"/>
      <c r="J1126" s="333"/>
      <c r="K1126" s="333"/>
      <c r="L1126" s="333"/>
      <c r="M1126" s="333"/>
    </row>
    <row r="1127" spans="2:13">
      <c r="B1127" s="531"/>
      <c r="C1127" s="333"/>
      <c r="D1127" s="333"/>
      <c r="E1127" s="333"/>
      <c r="F1127" s="333"/>
      <c r="G1127" s="333"/>
      <c r="H1127" s="333"/>
      <c r="I1127" s="333"/>
      <c r="J1127" s="333"/>
      <c r="K1127" s="333"/>
      <c r="L1127" s="333"/>
      <c r="M1127" s="333"/>
    </row>
    <row r="1128" spans="2:13">
      <c r="B1128" s="531"/>
      <c r="C1128" s="333"/>
      <c r="D1128" s="333"/>
      <c r="E1128" s="333"/>
      <c r="F1128" s="333"/>
      <c r="G1128" s="333"/>
      <c r="H1128" s="333"/>
      <c r="I1128" s="333"/>
      <c r="J1128" s="333"/>
      <c r="K1128" s="333"/>
      <c r="L1128" s="333"/>
      <c r="M1128" s="333"/>
    </row>
    <row r="1129" spans="2:13">
      <c r="B1129" s="531"/>
      <c r="C1129" s="333"/>
      <c r="D1129" s="333"/>
      <c r="E1129" s="333"/>
      <c r="F1129" s="333"/>
      <c r="G1129" s="333"/>
      <c r="H1129" s="333"/>
      <c r="I1129" s="333"/>
      <c r="J1129" s="333"/>
      <c r="K1129" s="333"/>
      <c r="L1129" s="333"/>
      <c r="M1129" s="333"/>
    </row>
    <row r="1130" spans="2:13">
      <c r="B1130" s="531"/>
      <c r="C1130" s="333"/>
      <c r="D1130" s="333"/>
      <c r="E1130" s="333"/>
      <c r="F1130" s="333"/>
      <c r="G1130" s="333"/>
      <c r="H1130" s="333"/>
      <c r="I1130" s="333"/>
      <c r="J1130" s="333"/>
      <c r="K1130" s="333"/>
      <c r="L1130" s="333"/>
      <c r="M1130" s="333"/>
    </row>
    <row r="1131" spans="2:13">
      <c r="B1131" s="531"/>
      <c r="C1131" s="333"/>
      <c r="D1131" s="333"/>
      <c r="E1131" s="333"/>
      <c r="F1131" s="333"/>
      <c r="G1131" s="333"/>
      <c r="H1131" s="333"/>
      <c r="I1131" s="333"/>
      <c r="J1131" s="333"/>
      <c r="K1131" s="333"/>
      <c r="L1131" s="333"/>
      <c r="M1131" s="333"/>
    </row>
    <row r="1132" spans="2:13">
      <c r="B1132" s="531"/>
      <c r="C1132" s="333"/>
      <c r="D1132" s="333"/>
      <c r="E1132" s="333"/>
      <c r="F1132" s="333"/>
      <c r="G1132" s="333"/>
      <c r="H1132" s="333"/>
      <c r="I1132" s="333"/>
      <c r="J1132" s="333"/>
      <c r="K1132" s="333"/>
      <c r="L1132" s="333"/>
      <c r="M1132" s="333"/>
    </row>
    <row r="1133" spans="2:13">
      <c r="B1133" s="531"/>
      <c r="C1133" s="333"/>
      <c r="D1133" s="333"/>
      <c r="E1133" s="333"/>
      <c r="F1133" s="333"/>
      <c r="G1133" s="333"/>
      <c r="H1133" s="333"/>
      <c r="I1133" s="333"/>
      <c r="J1133" s="333"/>
      <c r="K1133" s="333"/>
      <c r="L1133" s="333"/>
      <c r="M1133" s="333"/>
    </row>
    <row r="1134" spans="2:13">
      <c r="B1134" s="531"/>
      <c r="C1134" s="333"/>
      <c r="D1134" s="333"/>
      <c r="E1134" s="333"/>
      <c r="F1134" s="333"/>
      <c r="G1134" s="333"/>
      <c r="H1134" s="333"/>
      <c r="I1134" s="333"/>
      <c r="J1134" s="333"/>
      <c r="K1134" s="333"/>
      <c r="L1134" s="333"/>
      <c r="M1134" s="333"/>
    </row>
    <row r="1135" spans="2:13">
      <c r="B1135" s="531"/>
      <c r="C1135" s="333"/>
      <c r="D1135" s="333"/>
      <c r="E1135" s="333"/>
      <c r="F1135" s="333"/>
      <c r="G1135" s="333"/>
      <c r="H1135" s="333"/>
      <c r="I1135" s="333"/>
      <c r="J1135" s="333"/>
      <c r="K1135" s="333"/>
      <c r="L1135" s="333"/>
      <c r="M1135" s="333"/>
    </row>
    <row r="1136" spans="2:13">
      <c r="B1136" s="531"/>
      <c r="C1136" s="333"/>
      <c r="D1136" s="333"/>
      <c r="E1136" s="333"/>
      <c r="F1136" s="333"/>
      <c r="G1136" s="333"/>
      <c r="H1136" s="333"/>
      <c r="I1136" s="333"/>
      <c r="J1136" s="333"/>
      <c r="K1136" s="333"/>
      <c r="L1136" s="333"/>
      <c r="M1136" s="333"/>
    </row>
    <row r="1137" spans="2:13">
      <c r="B1137" s="531"/>
      <c r="C1137" s="333"/>
      <c r="D1137" s="333"/>
      <c r="E1137" s="333"/>
      <c r="F1137" s="333"/>
      <c r="G1137" s="333"/>
      <c r="H1137" s="333"/>
      <c r="I1137" s="333"/>
      <c r="J1137" s="333"/>
      <c r="K1137" s="333"/>
      <c r="L1137" s="333"/>
      <c r="M1137" s="333"/>
    </row>
    <row r="1138" spans="2:13">
      <c r="B1138" s="531"/>
      <c r="C1138" s="333"/>
      <c r="D1138" s="333"/>
      <c r="E1138" s="333"/>
      <c r="F1138" s="333"/>
      <c r="G1138" s="333"/>
      <c r="H1138" s="333"/>
      <c r="I1138" s="333"/>
      <c r="J1138" s="333"/>
      <c r="K1138" s="333"/>
      <c r="L1138" s="333"/>
      <c r="M1138" s="333"/>
    </row>
    <row r="1139" spans="2:13">
      <c r="B1139" s="531"/>
      <c r="C1139" s="333"/>
      <c r="D1139" s="333"/>
      <c r="E1139" s="333"/>
      <c r="F1139" s="333"/>
      <c r="G1139" s="333"/>
      <c r="H1139" s="333"/>
      <c r="I1139" s="333"/>
      <c r="J1139" s="333"/>
      <c r="K1139" s="333"/>
      <c r="L1139" s="333"/>
      <c r="M1139" s="333"/>
    </row>
    <row r="1140" spans="2:13">
      <c r="B1140" s="531"/>
      <c r="C1140" s="333"/>
      <c r="D1140" s="333"/>
      <c r="E1140" s="333"/>
      <c r="F1140" s="333"/>
      <c r="G1140" s="333"/>
      <c r="H1140" s="333"/>
      <c r="I1140" s="333"/>
      <c r="J1140" s="333"/>
      <c r="K1140" s="333"/>
      <c r="L1140" s="333"/>
      <c r="M1140" s="333"/>
    </row>
    <row r="1141" spans="2:13">
      <c r="B1141" s="531"/>
      <c r="C1141" s="333"/>
      <c r="D1141" s="333"/>
      <c r="E1141" s="333"/>
      <c r="F1141" s="333"/>
      <c r="G1141" s="333"/>
      <c r="H1141" s="333"/>
      <c r="I1141" s="333"/>
      <c r="J1141" s="333"/>
      <c r="K1141" s="333"/>
      <c r="L1141" s="333"/>
      <c r="M1141" s="333"/>
    </row>
    <row r="1142" spans="2:13">
      <c r="B1142" s="531"/>
      <c r="C1142" s="333"/>
      <c r="D1142" s="333"/>
      <c r="E1142" s="333"/>
      <c r="F1142" s="333"/>
      <c r="G1142" s="333"/>
      <c r="H1142" s="333"/>
      <c r="I1142" s="333"/>
      <c r="J1142" s="333"/>
      <c r="K1142" s="333"/>
      <c r="L1142" s="333"/>
      <c r="M1142" s="333"/>
    </row>
    <row r="1143" spans="2:13">
      <c r="B1143" s="531"/>
      <c r="C1143" s="333"/>
      <c r="D1143" s="333"/>
      <c r="E1143" s="333"/>
      <c r="F1143" s="333"/>
      <c r="G1143" s="333"/>
      <c r="H1143" s="333"/>
      <c r="I1143" s="333"/>
      <c r="J1143" s="333"/>
      <c r="K1143" s="333"/>
      <c r="L1143" s="333"/>
      <c r="M1143" s="333"/>
    </row>
    <row r="1144" spans="2:13">
      <c r="B1144" s="531"/>
      <c r="C1144" s="333"/>
      <c r="D1144" s="333"/>
      <c r="E1144" s="333"/>
      <c r="F1144" s="333"/>
      <c r="G1144" s="333"/>
      <c r="H1144" s="333"/>
      <c r="I1144" s="333"/>
      <c r="J1144" s="333"/>
      <c r="K1144" s="333"/>
      <c r="L1144" s="333"/>
      <c r="M1144" s="333"/>
    </row>
    <row r="1145" spans="2:13">
      <c r="B1145" s="531"/>
      <c r="C1145" s="333"/>
      <c r="D1145" s="333"/>
      <c r="E1145" s="333"/>
      <c r="F1145" s="333"/>
      <c r="G1145" s="333"/>
      <c r="H1145" s="333"/>
      <c r="I1145" s="333"/>
      <c r="J1145" s="333"/>
      <c r="K1145" s="333"/>
      <c r="L1145" s="333"/>
      <c r="M1145" s="333"/>
    </row>
    <row r="1146" spans="2:13">
      <c r="B1146" s="531"/>
      <c r="C1146" s="333"/>
      <c r="D1146" s="333"/>
      <c r="E1146" s="333"/>
      <c r="F1146" s="333"/>
      <c r="G1146" s="333"/>
      <c r="H1146" s="333"/>
      <c r="I1146" s="333"/>
      <c r="J1146" s="333"/>
      <c r="K1146" s="333"/>
      <c r="L1146" s="333"/>
      <c r="M1146" s="333"/>
    </row>
    <row r="1147" spans="2:13">
      <c r="B1147" s="531"/>
      <c r="C1147" s="333"/>
      <c r="D1147" s="333"/>
      <c r="E1147" s="333"/>
      <c r="F1147" s="333"/>
      <c r="G1147" s="333"/>
      <c r="H1147" s="333"/>
      <c r="I1147" s="333"/>
      <c r="J1147" s="333"/>
      <c r="K1147" s="333"/>
      <c r="L1147" s="333"/>
      <c r="M1147" s="333"/>
    </row>
    <row r="1148" spans="2:13">
      <c r="B1148" s="531"/>
      <c r="C1148" s="333"/>
      <c r="D1148" s="333"/>
      <c r="E1148" s="333"/>
      <c r="F1148" s="333"/>
      <c r="G1148" s="333"/>
      <c r="H1148" s="333"/>
      <c r="I1148" s="333"/>
      <c r="J1148" s="333"/>
      <c r="K1148" s="333"/>
      <c r="L1148" s="333"/>
      <c r="M1148" s="333"/>
    </row>
    <row r="1149" spans="2:13">
      <c r="B1149" s="531"/>
      <c r="C1149" s="333"/>
      <c r="D1149" s="333"/>
      <c r="E1149" s="333"/>
      <c r="F1149" s="333"/>
      <c r="G1149" s="333"/>
      <c r="H1149" s="333"/>
      <c r="I1149" s="333"/>
      <c r="J1149" s="333"/>
      <c r="K1149" s="333"/>
      <c r="L1149" s="333"/>
      <c r="M1149" s="333"/>
    </row>
    <row r="1150" spans="2:13">
      <c r="B1150" s="531"/>
      <c r="C1150" s="333"/>
      <c r="D1150" s="333"/>
      <c r="E1150" s="333"/>
      <c r="F1150" s="333"/>
      <c r="G1150" s="333"/>
      <c r="H1150" s="333"/>
      <c r="I1150" s="333"/>
      <c r="J1150" s="333"/>
      <c r="K1150" s="333"/>
      <c r="L1150" s="333"/>
      <c r="M1150" s="333"/>
    </row>
    <row r="1151" spans="2:13">
      <c r="B1151" s="531"/>
      <c r="C1151" s="333"/>
      <c r="D1151" s="333"/>
      <c r="E1151" s="333"/>
      <c r="F1151" s="333"/>
      <c r="G1151" s="333"/>
      <c r="H1151" s="333"/>
      <c r="I1151" s="333"/>
      <c r="J1151" s="333"/>
      <c r="K1151" s="333"/>
      <c r="L1151" s="333"/>
      <c r="M1151" s="333"/>
    </row>
    <row r="1152" spans="2:13">
      <c r="B1152" s="531"/>
      <c r="C1152" s="333"/>
      <c r="D1152" s="333"/>
      <c r="E1152" s="333"/>
      <c r="F1152" s="333"/>
      <c r="G1152" s="333"/>
      <c r="H1152" s="333"/>
      <c r="I1152" s="333"/>
      <c r="J1152" s="333"/>
      <c r="K1152" s="333"/>
      <c r="L1152" s="333"/>
      <c r="M1152" s="333"/>
    </row>
    <row r="1153" spans="2:13">
      <c r="B1153" s="531"/>
      <c r="C1153" s="333"/>
      <c r="D1153" s="333"/>
      <c r="E1153" s="333"/>
      <c r="F1153" s="333"/>
      <c r="G1153" s="333"/>
      <c r="H1153" s="333"/>
      <c r="I1153" s="333"/>
      <c r="J1153" s="333"/>
      <c r="K1153" s="333"/>
      <c r="L1153" s="333"/>
      <c r="M1153" s="333"/>
    </row>
    <row r="1154" spans="2:13">
      <c r="B1154" s="531"/>
      <c r="C1154" s="333"/>
      <c r="D1154" s="333"/>
      <c r="E1154" s="333"/>
      <c r="F1154" s="333"/>
      <c r="G1154" s="333"/>
      <c r="H1154" s="333"/>
      <c r="I1154" s="333"/>
      <c r="J1154" s="333"/>
      <c r="K1154" s="333"/>
      <c r="L1154" s="333"/>
      <c r="M1154" s="333"/>
    </row>
    <row r="1155" spans="2:13">
      <c r="B1155" s="531"/>
      <c r="C1155" s="333"/>
      <c r="D1155" s="333"/>
      <c r="E1155" s="333"/>
      <c r="F1155" s="333"/>
      <c r="G1155" s="333"/>
      <c r="H1155" s="333"/>
      <c r="I1155" s="333"/>
      <c r="J1155" s="333"/>
      <c r="K1155" s="333"/>
      <c r="L1155" s="333"/>
      <c r="M1155" s="333"/>
    </row>
    <row r="1156" spans="2:13">
      <c r="B1156" s="531"/>
      <c r="C1156" s="333"/>
      <c r="D1156" s="333"/>
      <c r="E1156" s="333"/>
      <c r="F1156" s="333"/>
      <c r="G1156" s="333"/>
      <c r="H1156" s="333"/>
      <c r="I1156" s="333"/>
      <c r="J1156" s="333"/>
      <c r="K1156" s="333"/>
      <c r="L1156" s="333"/>
      <c r="M1156" s="333"/>
    </row>
    <row r="1157" spans="2:13">
      <c r="B1157" s="531"/>
      <c r="C1157" s="333"/>
      <c r="D1157" s="333"/>
      <c r="E1157" s="333"/>
      <c r="F1157" s="333"/>
      <c r="G1157" s="333"/>
      <c r="H1157" s="333"/>
      <c r="I1157" s="333"/>
      <c r="J1157" s="333"/>
      <c r="K1157" s="333"/>
      <c r="L1157" s="333"/>
      <c r="M1157" s="333"/>
    </row>
    <row r="1158" spans="2:13">
      <c r="B1158" s="531"/>
      <c r="C1158" s="333"/>
      <c r="D1158" s="333"/>
      <c r="E1158" s="333"/>
      <c r="F1158" s="333"/>
      <c r="G1158" s="333"/>
      <c r="H1158" s="333"/>
      <c r="I1158" s="333"/>
      <c r="J1158" s="333"/>
      <c r="K1158" s="333"/>
      <c r="L1158" s="333"/>
      <c r="M1158" s="333"/>
    </row>
    <row r="1159" spans="2:13">
      <c r="B1159" s="531"/>
      <c r="C1159" s="333"/>
      <c r="D1159" s="333"/>
      <c r="E1159" s="333"/>
      <c r="F1159" s="333"/>
      <c r="G1159" s="333"/>
      <c r="H1159" s="333"/>
      <c r="I1159" s="333"/>
      <c r="J1159" s="333"/>
      <c r="K1159" s="333"/>
      <c r="L1159" s="333"/>
      <c r="M1159" s="333"/>
    </row>
    <row r="1160" spans="2:13">
      <c r="B1160" s="531"/>
      <c r="C1160" s="333"/>
      <c r="D1160" s="333"/>
      <c r="E1160" s="333"/>
      <c r="F1160" s="333"/>
      <c r="G1160" s="333"/>
      <c r="H1160" s="333"/>
      <c r="I1160" s="333"/>
      <c r="J1160" s="333"/>
      <c r="K1160" s="333"/>
      <c r="L1160" s="333"/>
      <c r="M1160" s="333"/>
    </row>
    <row r="1161" spans="2:13">
      <c r="B1161" s="531"/>
      <c r="C1161" s="333"/>
      <c r="D1161" s="333"/>
      <c r="E1161" s="333"/>
      <c r="F1161" s="333"/>
      <c r="G1161" s="333"/>
      <c r="H1161" s="333"/>
      <c r="I1161" s="333"/>
      <c r="J1161" s="333"/>
      <c r="K1161" s="333"/>
      <c r="L1161" s="333"/>
      <c r="M1161" s="333"/>
    </row>
    <row r="1162" spans="2:13">
      <c r="B1162" s="531"/>
      <c r="C1162" s="333"/>
      <c r="D1162" s="333"/>
      <c r="E1162" s="333"/>
      <c r="F1162" s="333"/>
      <c r="G1162" s="333"/>
      <c r="H1162" s="333"/>
      <c r="I1162" s="333"/>
      <c r="J1162" s="333"/>
      <c r="K1162" s="333"/>
      <c r="L1162" s="333"/>
      <c r="M1162" s="333"/>
    </row>
    <row r="1163" spans="2:13">
      <c r="B1163" s="531"/>
      <c r="C1163" s="333"/>
      <c r="D1163" s="333"/>
      <c r="E1163" s="333"/>
      <c r="F1163" s="333"/>
      <c r="G1163" s="333"/>
      <c r="H1163" s="333"/>
      <c r="I1163" s="333"/>
      <c r="J1163" s="333"/>
      <c r="K1163" s="333"/>
      <c r="L1163" s="333"/>
      <c r="M1163" s="333"/>
    </row>
    <row r="1164" spans="2:13">
      <c r="B1164" s="531"/>
      <c r="C1164" s="333"/>
      <c r="D1164" s="333"/>
      <c r="E1164" s="333"/>
      <c r="F1164" s="333"/>
      <c r="G1164" s="333"/>
      <c r="H1164" s="333"/>
      <c r="I1164" s="333"/>
      <c r="J1164" s="333"/>
      <c r="K1164" s="333"/>
      <c r="L1164" s="333"/>
      <c r="M1164" s="333"/>
    </row>
    <row r="1165" spans="2:13">
      <c r="B1165" s="531"/>
      <c r="C1165" s="333"/>
      <c r="D1165" s="333"/>
      <c r="E1165" s="333"/>
      <c r="F1165" s="333"/>
      <c r="G1165" s="333"/>
      <c r="H1165" s="333"/>
      <c r="I1165" s="333"/>
      <c r="J1165" s="333"/>
      <c r="K1165" s="333"/>
      <c r="L1165" s="333"/>
      <c r="M1165" s="333"/>
    </row>
    <row r="1166" spans="2:13">
      <c r="B1166" s="531"/>
      <c r="C1166" s="333"/>
      <c r="D1166" s="333"/>
      <c r="E1166" s="333"/>
      <c r="F1166" s="333"/>
      <c r="G1166" s="333"/>
      <c r="H1166" s="333"/>
      <c r="I1166" s="333"/>
      <c r="J1166" s="333"/>
      <c r="K1166" s="333"/>
      <c r="L1166" s="333"/>
      <c r="M1166" s="333"/>
    </row>
    <row r="1167" spans="2:13">
      <c r="B1167" s="531"/>
      <c r="C1167" s="333"/>
      <c r="D1167" s="333"/>
      <c r="E1167" s="333"/>
      <c r="F1167" s="333"/>
      <c r="G1167" s="333"/>
      <c r="H1167" s="333"/>
      <c r="I1167" s="333"/>
      <c r="J1167" s="333"/>
      <c r="K1167" s="333"/>
      <c r="L1167" s="333"/>
      <c r="M1167" s="333"/>
    </row>
    <row r="1168" spans="2:13">
      <c r="B1168" s="531"/>
      <c r="C1168" s="333"/>
      <c r="D1168" s="333"/>
      <c r="E1168" s="333"/>
      <c r="F1168" s="333"/>
      <c r="G1168" s="333"/>
      <c r="H1168" s="333"/>
      <c r="I1168" s="333"/>
      <c r="J1168" s="333"/>
      <c r="K1168" s="333"/>
      <c r="L1168" s="333"/>
      <c r="M1168" s="333"/>
    </row>
    <row r="1169" spans="2:13">
      <c r="B1169" s="531"/>
      <c r="C1169" s="333"/>
      <c r="D1169" s="333"/>
      <c r="E1169" s="333"/>
      <c r="F1169" s="333"/>
      <c r="G1169" s="333"/>
      <c r="H1169" s="333"/>
      <c r="I1169" s="333"/>
      <c r="J1169" s="333"/>
      <c r="K1169" s="333"/>
      <c r="L1169" s="333"/>
      <c r="M1169" s="333"/>
    </row>
    <row r="1170" spans="2:13">
      <c r="B1170" s="531"/>
      <c r="C1170" s="333"/>
      <c r="D1170" s="333"/>
      <c r="E1170" s="333"/>
      <c r="F1170" s="333"/>
      <c r="G1170" s="333"/>
      <c r="H1170" s="333"/>
      <c r="I1170" s="333"/>
      <c r="J1170" s="333"/>
      <c r="K1170" s="333"/>
      <c r="L1170" s="333"/>
      <c r="M1170" s="333"/>
    </row>
    <row r="1171" spans="2:13">
      <c r="B1171" s="531"/>
      <c r="C1171" s="333"/>
      <c r="D1171" s="333"/>
      <c r="E1171" s="333"/>
      <c r="F1171" s="333"/>
      <c r="G1171" s="333"/>
      <c r="H1171" s="333"/>
      <c r="I1171" s="333"/>
      <c r="J1171" s="333"/>
      <c r="K1171" s="333"/>
      <c r="L1171" s="333"/>
      <c r="M1171" s="333"/>
    </row>
    <row r="1172" spans="2:13">
      <c r="B1172" s="531"/>
      <c r="C1172" s="333"/>
      <c r="D1172" s="333"/>
      <c r="E1172" s="333"/>
      <c r="F1172" s="333"/>
      <c r="G1172" s="333"/>
      <c r="H1172" s="333"/>
      <c r="I1172" s="333"/>
      <c r="J1172" s="333"/>
      <c r="K1172" s="333"/>
      <c r="L1172" s="333"/>
      <c r="M1172" s="333"/>
    </row>
    <row r="1173" spans="2:13">
      <c r="B1173" s="531"/>
      <c r="C1173" s="333"/>
      <c r="D1173" s="333"/>
      <c r="E1173" s="333"/>
      <c r="F1173" s="333"/>
      <c r="G1173" s="333"/>
      <c r="H1173" s="333"/>
      <c r="I1173" s="333"/>
      <c r="J1173" s="333"/>
      <c r="K1173" s="333"/>
      <c r="L1173" s="333"/>
      <c r="M1173" s="333"/>
    </row>
    <row r="1174" spans="2:13">
      <c r="B1174" s="531"/>
      <c r="C1174" s="333"/>
      <c r="D1174" s="333"/>
      <c r="E1174" s="333"/>
      <c r="F1174" s="333"/>
      <c r="G1174" s="333"/>
      <c r="H1174" s="333"/>
      <c r="I1174" s="333"/>
      <c r="J1174" s="333"/>
      <c r="K1174" s="333"/>
      <c r="L1174" s="333"/>
      <c r="M1174" s="333"/>
    </row>
    <row r="1175" spans="2:13">
      <c r="B1175" s="531"/>
      <c r="C1175" s="333"/>
      <c r="D1175" s="333"/>
      <c r="E1175" s="333"/>
      <c r="F1175" s="333"/>
      <c r="G1175" s="333"/>
      <c r="H1175" s="333"/>
      <c r="I1175" s="333"/>
      <c r="J1175" s="333"/>
      <c r="K1175" s="333"/>
      <c r="L1175" s="333"/>
      <c r="M1175" s="333"/>
    </row>
    <row r="1176" spans="2:13">
      <c r="B1176" s="531"/>
      <c r="C1176" s="333"/>
      <c r="D1176" s="333"/>
      <c r="E1176" s="333"/>
      <c r="F1176" s="333"/>
      <c r="G1176" s="333"/>
      <c r="H1176" s="333"/>
      <c r="I1176" s="333"/>
      <c r="J1176" s="333"/>
      <c r="K1176" s="333"/>
      <c r="L1176" s="333"/>
      <c r="M1176" s="333"/>
    </row>
    <row r="1177" spans="2:13">
      <c r="B1177" s="531"/>
      <c r="C1177" s="333"/>
      <c r="D1177" s="333"/>
      <c r="E1177" s="333"/>
      <c r="F1177" s="333"/>
      <c r="G1177" s="333"/>
      <c r="H1177" s="333"/>
      <c r="I1177" s="333"/>
      <c r="J1177" s="333"/>
      <c r="K1177" s="333"/>
      <c r="L1177" s="333"/>
      <c r="M1177" s="333"/>
    </row>
    <row r="1178" spans="2:13">
      <c r="B1178" s="531"/>
      <c r="C1178" s="333"/>
      <c r="D1178" s="333"/>
      <c r="E1178" s="333"/>
      <c r="F1178" s="333"/>
      <c r="G1178" s="333"/>
      <c r="H1178" s="333"/>
      <c r="I1178" s="333"/>
      <c r="J1178" s="333"/>
      <c r="K1178" s="333"/>
      <c r="L1178" s="333"/>
      <c r="M1178" s="333"/>
    </row>
    <row r="1179" spans="2:13">
      <c r="B1179" s="531"/>
      <c r="C1179" s="333"/>
      <c r="D1179" s="333"/>
      <c r="E1179" s="333"/>
      <c r="F1179" s="333"/>
      <c r="G1179" s="333"/>
      <c r="H1179" s="333"/>
      <c r="I1179" s="333"/>
      <c r="J1179" s="333"/>
      <c r="K1179" s="333"/>
      <c r="L1179" s="333"/>
      <c r="M1179" s="333"/>
    </row>
    <row r="1180" spans="2:13">
      <c r="B1180" s="531"/>
      <c r="C1180" s="333"/>
      <c r="D1180" s="333"/>
      <c r="E1180" s="333"/>
      <c r="F1180" s="333"/>
      <c r="G1180" s="333"/>
      <c r="H1180" s="333"/>
      <c r="I1180" s="333"/>
      <c r="J1180" s="333"/>
      <c r="K1180" s="333"/>
      <c r="L1180" s="333"/>
      <c r="M1180" s="333"/>
    </row>
    <row r="1181" spans="2:13">
      <c r="B1181" s="531"/>
      <c r="C1181" s="333"/>
      <c r="D1181" s="333"/>
      <c r="E1181" s="333"/>
      <c r="F1181" s="333"/>
      <c r="G1181" s="333"/>
      <c r="H1181" s="333"/>
      <c r="I1181" s="333"/>
      <c r="J1181" s="333"/>
      <c r="K1181" s="333"/>
      <c r="L1181" s="333"/>
      <c r="M1181" s="333"/>
    </row>
    <row r="1182" spans="2:13">
      <c r="B1182" s="531"/>
      <c r="C1182" s="333"/>
      <c r="D1182" s="333"/>
      <c r="E1182" s="333"/>
      <c r="F1182" s="333"/>
      <c r="G1182" s="333"/>
      <c r="H1182" s="333"/>
      <c r="I1182" s="333"/>
      <c r="J1182" s="333"/>
      <c r="K1182" s="333"/>
      <c r="L1182" s="333"/>
      <c r="M1182" s="333"/>
    </row>
    <row r="1183" spans="2:13">
      <c r="B1183" s="531"/>
      <c r="C1183" s="333"/>
      <c r="D1183" s="333"/>
      <c r="E1183" s="333"/>
      <c r="F1183" s="333"/>
      <c r="G1183" s="333"/>
      <c r="H1183" s="333"/>
      <c r="I1183" s="333"/>
      <c r="J1183" s="333"/>
      <c r="K1183" s="333"/>
      <c r="L1183" s="333"/>
      <c r="M1183" s="333"/>
    </row>
    <row r="1184" spans="2:13">
      <c r="B1184" s="531"/>
      <c r="C1184" s="333"/>
      <c r="D1184" s="333"/>
      <c r="E1184" s="333"/>
      <c r="F1184" s="333"/>
      <c r="G1184" s="333"/>
      <c r="H1184" s="333"/>
      <c r="I1184" s="333"/>
      <c r="J1184" s="333"/>
      <c r="K1184" s="333"/>
      <c r="L1184" s="333"/>
      <c r="M1184" s="333"/>
    </row>
    <row r="1185" spans="2:13">
      <c r="B1185" s="531"/>
      <c r="C1185" s="333"/>
      <c r="D1185" s="333"/>
      <c r="E1185" s="333"/>
      <c r="F1185" s="333"/>
      <c r="G1185" s="333"/>
      <c r="H1185" s="333"/>
      <c r="I1185" s="333"/>
      <c r="J1185" s="333"/>
      <c r="K1185" s="333"/>
      <c r="L1185" s="333"/>
      <c r="M1185" s="333"/>
    </row>
    <row r="1186" spans="2:13">
      <c r="B1186" s="531"/>
      <c r="C1186" s="333"/>
      <c r="D1186" s="333"/>
      <c r="E1186" s="333"/>
      <c r="F1186" s="333"/>
      <c r="G1186" s="333"/>
      <c r="H1186" s="333"/>
      <c r="I1186" s="333"/>
      <c r="J1186" s="333"/>
      <c r="K1186" s="333"/>
      <c r="L1186" s="333"/>
      <c r="M1186" s="333"/>
    </row>
    <row r="1187" spans="2:13">
      <c r="B1187" s="531"/>
      <c r="C1187" s="333"/>
      <c r="D1187" s="333"/>
      <c r="E1187" s="333"/>
      <c r="F1187" s="333"/>
      <c r="G1187" s="333"/>
      <c r="H1187" s="333"/>
      <c r="I1187" s="333"/>
      <c r="J1187" s="333"/>
      <c r="K1187" s="333"/>
      <c r="L1187" s="333"/>
      <c r="M1187" s="333"/>
    </row>
    <row r="1188" spans="2:13">
      <c r="B1188" s="531"/>
      <c r="C1188" s="333"/>
      <c r="D1188" s="333"/>
      <c r="E1188" s="333"/>
      <c r="F1188" s="333"/>
      <c r="G1188" s="333"/>
      <c r="H1188" s="333"/>
      <c r="I1188" s="333"/>
      <c r="J1188" s="333"/>
      <c r="K1188" s="333"/>
      <c r="L1188" s="333"/>
      <c r="M1188" s="333"/>
    </row>
    <row r="1189" spans="2:13">
      <c r="B1189" s="531"/>
      <c r="C1189" s="333"/>
      <c r="D1189" s="333"/>
      <c r="E1189" s="333"/>
      <c r="F1189" s="333"/>
      <c r="G1189" s="333"/>
      <c r="H1189" s="333"/>
      <c r="I1189" s="333"/>
      <c r="J1189" s="333"/>
      <c r="K1189" s="333"/>
      <c r="L1189" s="333"/>
      <c r="M1189" s="333"/>
    </row>
    <row r="1190" spans="2:13">
      <c r="B1190" s="531"/>
      <c r="C1190" s="333"/>
      <c r="D1190" s="333"/>
      <c r="E1190" s="333"/>
      <c r="F1190" s="333"/>
      <c r="G1190" s="333"/>
      <c r="H1190" s="333"/>
      <c r="I1190" s="333"/>
      <c r="J1190" s="333"/>
      <c r="K1190" s="333"/>
      <c r="L1190" s="333"/>
      <c r="M1190" s="333"/>
    </row>
    <row r="1191" spans="2:13">
      <c r="B1191" s="531"/>
      <c r="C1191" s="333"/>
      <c r="D1191" s="333"/>
      <c r="E1191" s="333"/>
      <c r="F1191" s="333"/>
      <c r="G1191" s="333"/>
      <c r="H1191" s="333"/>
      <c r="I1191" s="333"/>
      <c r="J1191" s="333"/>
      <c r="K1191" s="333"/>
      <c r="L1191" s="333"/>
      <c r="M1191" s="333"/>
    </row>
    <row r="1192" spans="2:13">
      <c r="B1192" s="531"/>
      <c r="C1192" s="333"/>
      <c r="D1192" s="333"/>
      <c r="E1192" s="333"/>
      <c r="F1192" s="333"/>
      <c r="G1192" s="333"/>
      <c r="H1192" s="333"/>
      <c r="I1192" s="333"/>
      <c r="J1192" s="333"/>
      <c r="K1192" s="333"/>
      <c r="L1192" s="333"/>
      <c r="M1192" s="333"/>
    </row>
    <row r="1193" spans="2:13">
      <c r="B1193" s="531"/>
      <c r="C1193" s="333"/>
      <c r="D1193" s="333"/>
      <c r="E1193" s="333"/>
      <c r="F1193" s="333"/>
      <c r="G1193" s="333"/>
      <c r="H1193" s="333"/>
      <c r="I1193" s="333"/>
      <c r="J1193" s="333"/>
      <c r="K1193" s="333"/>
      <c r="L1193" s="333"/>
      <c r="M1193" s="333"/>
    </row>
    <row r="1194" spans="2:13">
      <c r="B1194" s="531"/>
      <c r="C1194" s="333"/>
      <c r="D1194" s="333"/>
      <c r="E1194" s="333"/>
      <c r="F1194" s="333"/>
      <c r="G1194" s="333"/>
      <c r="H1194" s="333"/>
      <c r="I1194" s="333"/>
      <c r="J1194" s="333"/>
      <c r="K1194" s="333"/>
      <c r="L1194" s="333"/>
      <c r="M1194" s="333"/>
    </row>
    <row r="1195" spans="2:13">
      <c r="B1195" s="531"/>
      <c r="C1195" s="333"/>
      <c r="D1195" s="333"/>
      <c r="E1195" s="333"/>
      <c r="F1195" s="333"/>
      <c r="G1195" s="333"/>
      <c r="H1195" s="333"/>
      <c r="I1195" s="333"/>
      <c r="J1195" s="333"/>
      <c r="K1195" s="333"/>
      <c r="L1195" s="333"/>
      <c r="M1195" s="333"/>
    </row>
    <row r="1196" spans="2:13">
      <c r="B1196" s="531"/>
      <c r="C1196" s="333"/>
      <c r="D1196" s="333"/>
      <c r="E1196" s="333"/>
      <c r="F1196" s="333"/>
      <c r="G1196" s="333"/>
      <c r="H1196" s="333"/>
      <c r="I1196" s="333"/>
      <c r="J1196" s="333"/>
      <c r="K1196" s="333"/>
      <c r="L1196" s="333"/>
      <c r="M1196" s="333"/>
    </row>
    <row r="1197" spans="2:13">
      <c r="B1197" s="531"/>
      <c r="C1197" s="333"/>
      <c r="D1197" s="333"/>
      <c r="E1197" s="333"/>
      <c r="F1197" s="333"/>
      <c r="G1197" s="333"/>
      <c r="H1197" s="333"/>
      <c r="I1197" s="333"/>
      <c r="J1197" s="333"/>
      <c r="K1197" s="333"/>
      <c r="L1197" s="333"/>
      <c r="M1197" s="333"/>
    </row>
    <row r="1198" spans="2:13">
      <c r="B1198" s="531"/>
      <c r="C1198" s="333"/>
      <c r="D1198" s="333"/>
      <c r="E1198" s="333"/>
      <c r="F1198" s="333"/>
      <c r="G1198" s="333"/>
      <c r="H1198" s="333"/>
      <c r="I1198" s="333"/>
      <c r="J1198" s="333"/>
      <c r="K1198" s="333"/>
      <c r="L1198" s="333"/>
      <c r="M1198" s="333"/>
    </row>
    <row r="1199" spans="2:13">
      <c r="B1199" s="531"/>
      <c r="C1199" s="333"/>
      <c r="D1199" s="333"/>
      <c r="E1199" s="333"/>
      <c r="F1199" s="333"/>
      <c r="G1199" s="333"/>
      <c r="H1199" s="333"/>
      <c r="I1199" s="333"/>
      <c r="J1199" s="333"/>
      <c r="K1199" s="333"/>
      <c r="L1199" s="333"/>
      <c r="M1199" s="333"/>
    </row>
    <row r="1200" spans="2:13">
      <c r="B1200" s="531"/>
      <c r="C1200" s="333"/>
      <c r="D1200" s="333"/>
      <c r="E1200" s="333"/>
      <c r="F1200" s="333"/>
      <c r="G1200" s="333"/>
      <c r="H1200" s="333"/>
      <c r="I1200" s="333"/>
      <c r="J1200" s="333"/>
      <c r="K1200" s="333"/>
      <c r="L1200" s="333"/>
      <c r="M1200" s="333"/>
    </row>
    <row r="1201" spans="2:13">
      <c r="B1201" s="531"/>
      <c r="C1201" s="333"/>
      <c r="D1201" s="333"/>
      <c r="E1201" s="333"/>
      <c r="F1201" s="333"/>
      <c r="G1201" s="333"/>
      <c r="H1201" s="333"/>
      <c r="I1201" s="333"/>
      <c r="J1201" s="333"/>
      <c r="K1201" s="333"/>
      <c r="L1201" s="333"/>
      <c r="M1201" s="333"/>
    </row>
    <row r="1202" spans="2:13">
      <c r="B1202" s="531"/>
      <c r="C1202" s="333"/>
      <c r="D1202" s="333"/>
      <c r="E1202" s="333"/>
      <c r="F1202" s="333"/>
      <c r="G1202" s="333"/>
      <c r="H1202" s="333"/>
      <c r="I1202" s="333"/>
      <c r="J1202" s="333"/>
      <c r="K1202" s="333"/>
      <c r="L1202" s="333"/>
      <c r="M1202" s="333"/>
    </row>
    <row r="1203" spans="2:13">
      <c r="B1203" s="531"/>
      <c r="C1203" s="333"/>
      <c r="D1203" s="333"/>
      <c r="E1203" s="333"/>
      <c r="F1203" s="333"/>
      <c r="G1203" s="333"/>
      <c r="H1203" s="333"/>
      <c r="I1203" s="333"/>
      <c r="J1203" s="333"/>
      <c r="K1203" s="333"/>
      <c r="L1203" s="333"/>
      <c r="M1203" s="333"/>
    </row>
    <row r="1204" spans="2:13">
      <c r="B1204" s="531"/>
      <c r="C1204" s="333"/>
      <c r="D1204" s="333"/>
      <c r="E1204" s="333"/>
      <c r="F1204" s="333"/>
      <c r="G1204" s="333"/>
      <c r="H1204" s="333"/>
      <c r="I1204" s="333"/>
      <c r="J1204" s="333"/>
      <c r="K1204" s="333"/>
      <c r="L1204" s="333"/>
      <c r="M1204" s="333"/>
    </row>
    <row r="1205" spans="2:13">
      <c r="B1205" s="531"/>
      <c r="C1205" s="333"/>
      <c r="D1205" s="333"/>
      <c r="E1205" s="333"/>
      <c r="F1205" s="333"/>
      <c r="G1205" s="333"/>
      <c r="H1205" s="333"/>
      <c r="I1205" s="333"/>
      <c r="J1205" s="333"/>
      <c r="K1205" s="333"/>
      <c r="L1205" s="333"/>
      <c r="M1205" s="333"/>
    </row>
    <row r="1206" spans="2:13">
      <c r="B1206" s="531"/>
      <c r="C1206" s="333"/>
      <c r="D1206" s="333"/>
      <c r="E1206" s="333"/>
      <c r="F1206" s="333"/>
      <c r="G1206" s="333"/>
      <c r="H1206" s="333"/>
      <c r="I1206" s="333"/>
      <c r="J1206" s="333"/>
      <c r="K1206" s="333"/>
      <c r="L1206" s="333"/>
      <c r="M1206" s="333"/>
    </row>
    <row r="1207" spans="2:13">
      <c r="B1207" s="531"/>
      <c r="C1207" s="333"/>
      <c r="D1207" s="333"/>
      <c r="E1207" s="333"/>
      <c r="F1207" s="333"/>
      <c r="G1207" s="333"/>
      <c r="H1207" s="333"/>
      <c r="I1207" s="333"/>
      <c r="J1207" s="333"/>
      <c r="K1207" s="333"/>
      <c r="L1207" s="333"/>
      <c r="M1207" s="333"/>
    </row>
    <row r="1208" spans="2:13">
      <c r="B1208" s="531"/>
      <c r="C1208" s="333"/>
      <c r="D1208" s="333"/>
      <c r="E1208" s="333"/>
      <c r="F1208" s="333"/>
      <c r="G1208" s="333"/>
      <c r="H1208" s="333"/>
      <c r="I1208" s="333"/>
      <c r="J1208" s="333"/>
      <c r="K1208" s="333"/>
      <c r="L1208" s="333"/>
      <c r="M1208" s="333"/>
    </row>
    <row r="1209" spans="2:13">
      <c r="B1209" s="531"/>
      <c r="C1209" s="333"/>
      <c r="D1209" s="333"/>
      <c r="E1209" s="333"/>
      <c r="F1209" s="333"/>
      <c r="G1209" s="333"/>
      <c r="H1209" s="333"/>
      <c r="I1209" s="333"/>
      <c r="J1209" s="333"/>
      <c r="K1209" s="333"/>
      <c r="L1209" s="333"/>
      <c r="M1209" s="333"/>
    </row>
    <row r="1210" spans="2:13">
      <c r="B1210" s="531"/>
      <c r="C1210" s="333"/>
      <c r="D1210" s="333"/>
      <c r="E1210" s="333"/>
      <c r="F1210" s="333"/>
      <c r="G1210" s="333"/>
      <c r="H1210" s="333"/>
      <c r="I1210" s="333"/>
      <c r="J1210" s="333"/>
      <c r="K1210" s="333"/>
      <c r="L1210" s="333"/>
      <c r="M1210" s="333"/>
    </row>
    <row r="1211" spans="2:13">
      <c r="B1211" s="531"/>
      <c r="C1211" s="333"/>
      <c r="D1211" s="333"/>
      <c r="E1211" s="333"/>
      <c r="F1211" s="333"/>
      <c r="G1211" s="333"/>
      <c r="H1211" s="333"/>
      <c r="I1211" s="333"/>
      <c r="J1211" s="333"/>
      <c r="K1211" s="333"/>
      <c r="L1211" s="333"/>
      <c r="M1211" s="333"/>
    </row>
    <row r="1212" spans="2:13">
      <c r="B1212" s="531"/>
      <c r="C1212" s="333"/>
      <c r="D1212" s="333"/>
      <c r="E1212" s="333"/>
      <c r="F1212" s="333"/>
      <c r="G1212" s="333"/>
      <c r="H1212" s="333"/>
      <c r="I1212" s="333"/>
      <c r="J1212" s="333"/>
      <c r="K1212" s="333"/>
      <c r="L1212" s="333"/>
      <c r="M1212" s="333"/>
    </row>
    <row r="1213" spans="2:13">
      <c r="B1213" s="531"/>
      <c r="C1213" s="333"/>
      <c r="D1213" s="333"/>
      <c r="E1213" s="333"/>
      <c r="F1213" s="333"/>
      <c r="G1213" s="333"/>
      <c r="H1213" s="333"/>
      <c r="I1213" s="333"/>
      <c r="J1213" s="333"/>
      <c r="K1213" s="333"/>
      <c r="L1213" s="333"/>
      <c r="M1213" s="333"/>
    </row>
    <row r="1214" spans="2:13">
      <c r="B1214" s="531"/>
      <c r="C1214" s="333"/>
      <c r="D1214" s="333"/>
      <c r="E1214" s="333"/>
      <c r="F1214" s="333"/>
      <c r="G1214" s="333"/>
      <c r="H1214" s="333"/>
      <c r="I1214" s="333"/>
      <c r="J1214" s="333"/>
      <c r="K1214" s="333"/>
      <c r="L1214" s="333"/>
      <c r="M1214" s="333"/>
    </row>
    <row r="1215" spans="2:13">
      <c r="B1215" s="531"/>
      <c r="C1215" s="333"/>
      <c r="D1215" s="333"/>
      <c r="E1215" s="333"/>
      <c r="F1215" s="333"/>
      <c r="G1215" s="333"/>
      <c r="H1215" s="333"/>
      <c r="I1215" s="333"/>
      <c r="J1215" s="333"/>
      <c r="K1215" s="333"/>
      <c r="L1215" s="333"/>
      <c r="M1215" s="333"/>
    </row>
    <row r="1216" spans="2:13">
      <c r="B1216" s="531"/>
      <c r="C1216" s="333"/>
      <c r="D1216" s="333"/>
      <c r="E1216" s="333"/>
      <c r="F1216" s="333"/>
      <c r="G1216" s="333"/>
      <c r="H1216" s="333"/>
      <c r="I1216" s="333"/>
      <c r="J1216" s="333"/>
      <c r="K1216" s="333"/>
      <c r="L1216" s="333"/>
      <c r="M1216" s="333"/>
    </row>
    <row r="1217" spans="2:13">
      <c r="B1217" s="531"/>
      <c r="C1217" s="333"/>
      <c r="D1217" s="333"/>
      <c r="E1217" s="333"/>
      <c r="F1217" s="333"/>
      <c r="G1217" s="333"/>
      <c r="H1217" s="333"/>
      <c r="I1217" s="333"/>
      <c r="J1217" s="333"/>
      <c r="K1217" s="333"/>
      <c r="L1217" s="333"/>
      <c r="M1217" s="333"/>
    </row>
    <row r="1218" spans="2:13">
      <c r="B1218" s="531"/>
      <c r="C1218" s="333"/>
      <c r="D1218" s="333"/>
      <c r="E1218" s="333"/>
      <c r="F1218" s="333"/>
      <c r="G1218" s="333"/>
      <c r="H1218" s="333"/>
      <c r="I1218" s="333"/>
      <c r="J1218" s="333"/>
      <c r="K1218" s="333"/>
      <c r="L1218" s="333"/>
      <c r="M1218" s="333"/>
    </row>
    <row r="1219" spans="2:13">
      <c r="B1219" s="531"/>
      <c r="C1219" s="333"/>
      <c r="D1219" s="333"/>
      <c r="E1219" s="333"/>
      <c r="F1219" s="333"/>
      <c r="G1219" s="333"/>
      <c r="H1219" s="333"/>
      <c r="I1219" s="333"/>
      <c r="J1219" s="333"/>
      <c r="K1219" s="333"/>
      <c r="L1219" s="333"/>
      <c r="M1219" s="333"/>
    </row>
    <row r="1220" spans="2:13">
      <c r="B1220" s="531"/>
      <c r="C1220" s="333"/>
      <c r="D1220" s="333"/>
      <c r="E1220" s="333"/>
      <c r="F1220" s="333"/>
      <c r="G1220" s="333"/>
      <c r="H1220" s="333"/>
      <c r="I1220" s="333"/>
      <c r="J1220" s="333"/>
      <c r="K1220" s="333"/>
      <c r="L1220" s="333"/>
      <c r="M1220" s="333"/>
    </row>
    <row r="1221" spans="2:13">
      <c r="B1221" s="531"/>
      <c r="C1221" s="333"/>
      <c r="D1221" s="333"/>
      <c r="E1221" s="333"/>
      <c r="F1221" s="333"/>
      <c r="G1221" s="333"/>
      <c r="H1221" s="333"/>
      <c r="I1221" s="333"/>
      <c r="J1221" s="333"/>
      <c r="K1221" s="333"/>
      <c r="L1221" s="333"/>
      <c r="M1221" s="333"/>
    </row>
    <row r="1222" spans="2:13">
      <c r="B1222" s="531"/>
      <c r="C1222" s="333"/>
      <c r="D1222" s="333"/>
      <c r="E1222" s="333"/>
      <c r="F1222" s="333"/>
      <c r="G1222" s="333"/>
      <c r="H1222" s="333"/>
      <c r="I1222" s="333"/>
      <c r="J1222" s="333"/>
      <c r="K1222" s="333"/>
      <c r="L1222" s="333"/>
      <c r="M1222" s="333"/>
    </row>
    <row r="1223" spans="2:13">
      <c r="B1223" s="531"/>
      <c r="C1223" s="333"/>
      <c r="D1223" s="333"/>
      <c r="E1223" s="333"/>
      <c r="F1223" s="333"/>
      <c r="G1223" s="333"/>
      <c r="H1223" s="333"/>
      <c r="I1223" s="333"/>
      <c r="J1223" s="333"/>
      <c r="K1223" s="333"/>
      <c r="L1223" s="333"/>
      <c r="M1223" s="333"/>
    </row>
    <row r="1224" spans="2:13">
      <c r="B1224" s="531"/>
      <c r="C1224" s="333"/>
      <c r="D1224" s="333"/>
      <c r="E1224" s="333"/>
      <c r="F1224" s="333"/>
      <c r="G1224" s="333"/>
      <c r="H1224" s="333"/>
      <c r="I1224" s="333"/>
      <c r="J1224" s="333"/>
      <c r="K1224" s="333"/>
      <c r="L1224" s="333"/>
      <c r="M1224" s="333"/>
    </row>
    <row r="1225" spans="2:13">
      <c r="B1225" s="531"/>
      <c r="C1225" s="333"/>
      <c r="D1225" s="333"/>
      <c r="E1225" s="333"/>
      <c r="F1225" s="333"/>
      <c r="G1225" s="333"/>
      <c r="H1225" s="333"/>
      <c r="I1225" s="333"/>
      <c r="J1225" s="333"/>
      <c r="K1225" s="333"/>
      <c r="L1225" s="333"/>
      <c r="M1225" s="333"/>
    </row>
    <row r="1226" spans="2:13">
      <c r="B1226" s="531"/>
      <c r="C1226" s="333"/>
      <c r="D1226" s="333"/>
      <c r="E1226" s="333"/>
      <c r="F1226" s="333"/>
      <c r="G1226" s="333"/>
      <c r="H1226" s="333"/>
      <c r="I1226" s="333"/>
      <c r="J1226" s="333"/>
      <c r="K1226" s="333"/>
      <c r="L1226" s="333"/>
      <c r="M1226" s="333"/>
    </row>
    <row r="1227" spans="2:13">
      <c r="B1227" s="531"/>
      <c r="C1227" s="333"/>
      <c r="D1227" s="333"/>
      <c r="E1227" s="333"/>
      <c r="F1227" s="333"/>
      <c r="G1227" s="333"/>
      <c r="H1227" s="333"/>
      <c r="I1227" s="333"/>
      <c r="J1227" s="333"/>
      <c r="K1227" s="333"/>
      <c r="L1227" s="333"/>
      <c r="M1227" s="333"/>
    </row>
    <row r="1228" spans="2:13">
      <c r="B1228" s="531"/>
      <c r="C1228" s="333"/>
      <c r="D1228" s="333"/>
      <c r="E1228" s="333"/>
      <c r="F1228" s="333"/>
      <c r="G1228" s="333"/>
      <c r="H1228" s="333"/>
      <c r="I1228" s="333"/>
      <c r="J1228" s="333"/>
      <c r="K1228" s="333"/>
      <c r="L1228" s="333"/>
      <c r="M1228" s="333"/>
    </row>
    <row r="1229" spans="2:13">
      <c r="B1229" s="531"/>
      <c r="C1229" s="333"/>
      <c r="D1229" s="333"/>
      <c r="E1229" s="333"/>
      <c r="F1229" s="333"/>
      <c r="G1229" s="333"/>
      <c r="H1229" s="333"/>
      <c r="I1229" s="333"/>
      <c r="J1229" s="333"/>
      <c r="K1229" s="333"/>
      <c r="L1229" s="333"/>
      <c r="M1229" s="333"/>
    </row>
    <row r="1230" spans="2:13">
      <c r="B1230" s="531"/>
      <c r="C1230" s="333"/>
      <c r="D1230" s="333"/>
      <c r="E1230" s="333"/>
      <c r="F1230" s="333"/>
      <c r="G1230" s="333"/>
      <c r="H1230" s="333"/>
      <c r="I1230" s="333"/>
      <c r="J1230" s="333"/>
      <c r="K1230" s="333"/>
      <c r="L1230" s="333"/>
      <c r="M1230" s="333"/>
    </row>
    <row r="1231" spans="2:13">
      <c r="B1231" s="531"/>
      <c r="C1231" s="333"/>
      <c r="D1231" s="333"/>
      <c r="E1231" s="333"/>
      <c r="F1231" s="333"/>
      <c r="G1231" s="333"/>
      <c r="H1231" s="333"/>
      <c r="I1231" s="333"/>
      <c r="J1231" s="333"/>
      <c r="K1231" s="333"/>
      <c r="L1231" s="333"/>
      <c r="M1231" s="333"/>
    </row>
    <row r="1232" spans="2:13">
      <c r="B1232" s="531"/>
      <c r="C1232" s="333"/>
      <c r="D1232" s="333"/>
      <c r="E1232" s="333"/>
      <c r="F1232" s="333"/>
      <c r="G1232" s="333"/>
      <c r="H1232" s="333"/>
      <c r="I1232" s="333"/>
      <c r="J1232" s="333"/>
      <c r="K1232" s="333"/>
      <c r="L1232" s="333"/>
      <c r="M1232" s="333"/>
    </row>
    <row r="1233" spans="9:10">
      <c r="I1233" s="333"/>
      <c r="J1233" s="333"/>
    </row>
  </sheetData>
  <mergeCells count="26">
    <mergeCell ref="H253:I253"/>
    <mergeCell ref="D283:K284"/>
    <mergeCell ref="D320:K321"/>
    <mergeCell ref="D310:J311"/>
    <mergeCell ref="D328:L330"/>
    <mergeCell ref="D316:J318"/>
    <mergeCell ref="D303:K305"/>
    <mergeCell ref="E177:E178"/>
    <mergeCell ref="B24:I25"/>
    <mergeCell ref="I60:J60"/>
    <mergeCell ref="I63:J63"/>
    <mergeCell ref="I134:J134"/>
    <mergeCell ref="I137:J137"/>
    <mergeCell ref="D42:L42"/>
    <mergeCell ref="D373:L374"/>
    <mergeCell ref="D368:L370"/>
    <mergeCell ref="D280:L280"/>
    <mergeCell ref="D292:L292"/>
    <mergeCell ref="D288:L289"/>
    <mergeCell ref="D323:L326"/>
    <mergeCell ref="D352:L357"/>
    <mergeCell ref="D360:L362"/>
    <mergeCell ref="D307:K309"/>
    <mergeCell ref="D363:L364"/>
    <mergeCell ref="D365:L366"/>
    <mergeCell ref="D367:L367"/>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5" manualBreakCount="5">
    <brk id="51" max="11" man="1"/>
    <brk id="126" max="11" man="1"/>
    <brk id="214" max="11" man="1"/>
    <brk id="260" max="11" man="1"/>
    <brk id="375"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38"/>
  <sheetViews>
    <sheetView zoomScaleNormal="100" zoomScaleSheetLayoutView="100" workbookViewId="0">
      <selection activeCell="C19" sqref="C19"/>
    </sheetView>
  </sheetViews>
  <sheetFormatPr defaultColWidth="8.85546875" defaultRowHeight="12.75"/>
  <cols>
    <col min="1" max="1" width="9.28515625" style="439" bestFit="1" customWidth="1"/>
    <col min="2" max="2" width="65.140625" style="345" bestFit="1" customWidth="1"/>
    <col min="3" max="3" width="12.7109375" style="345" bestFit="1" customWidth="1"/>
    <col min="4" max="4" width="1.5703125" style="345" customWidth="1"/>
    <col min="5" max="5" width="15" style="345" bestFit="1" customWidth="1"/>
    <col min="6" max="16384" width="8.85546875" style="345"/>
  </cols>
  <sheetData>
    <row r="1" spans="1:15" ht="15.75">
      <c r="A1" s="886" t="s">
        <v>115</v>
      </c>
    </row>
    <row r="2" spans="1:15" ht="15.75">
      <c r="A2" s="886" t="s">
        <v>115</v>
      </c>
    </row>
    <row r="3" spans="1:15" ht="15">
      <c r="A3" s="1584" t="str">
        <f>+'WS C  - Working Capital'!A3:L3</f>
        <v>AEP East Companies</v>
      </c>
      <c r="B3" s="1584"/>
      <c r="C3" s="1584"/>
      <c r="D3" s="1584"/>
      <c r="E3" s="1584"/>
      <c r="F3" s="546"/>
      <c r="G3" s="546"/>
      <c r="H3" s="546"/>
      <c r="I3" s="546"/>
      <c r="J3" s="546"/>
      <c r="K3" s="546"/>
      <c r="L3" s="546"/>
      <c r="M3" s="546"/>
      <c r="N3" s="546"/>
      <c r="O3" s="546"/>
    </row>
    <row r="4" spans="1:15" ht="15">
      <c r="A4" s="1585" t="str">
        <f>"Cost of Service Formula Rate Using Actual/Projected FF1 Balances"</f>
        <v>Cost of Service Formula Rate Using Actual/Projected FF1 Balances</v>
      </c>
      <c r="B4" s="1585"/>
      <c r="C4" s="1585"/>
      <c r="D4" s="1585"/>
      <c r="E4" s="1585"/>
      <c r="F4" s="547"/>
      <c r="G4" s="547"/>
      <c r="H4" s="547"/>
      <c r="I4" s="547"/>
      <c r="J4" s="547"/>
      <c r="K4" s="547"/>
      <c r="L4" s="547"/>
      <c r="M4" s="548"/>
      <c r="N4" s="548"/>
      <c r="O4" s="548"/>
    </row>
    <row r="5" spans="1:15" ht="15">
      <c r="A5" s="1585" t="s">
        <v>228</v>
      </c>
      <c r="B5" s="1585"/>
      <c r="C5" s="1585"/>
      <c r="D5" s="1585"/>
      <c r="E5" s="1585"/>
      <c r="F5" s="547"/>
      <c r="G5" s="547"/>
      <c r="H5" s="547"/>
      <c r="I5" s="547"/>
      <c r="J5" s="547"/>
      <c r="K5" s="547"/>
      <c r="L5" s="547"/>
      <c r="M5" s="547"/>
      <c r="N5" s="547"/>
      <c r="O5" s="547"/>
    </row>
    <row r="6" spans="1:15" ht="15">
      <c r="A6" s="1586" t="str">
        <f>TCOS!F9</f>
        <v xml:space="preserve">Indiana Michigan Power Company </v>
      </c>
      <c r="B6" s="1586"/>
      <c r="C6" s="1586"/>
      <c r="D6" s="1586"/>
      <c r="E6" s="1586"/>
      <c r="F6" s="341"/>
      <c r="G6" s="341"/>
      <c r="H6" s="341"/>
      <c r="I6" s="341"/>
      <c r="J6" s="341"/>
      <c r="K6" s="341"/>
      <c r="L6" s="341"/>
      <c r="M6" s="341"/>
      <c r="N6" s="341"/>
      <c r="O6" s="341"/>
    </row>
    <row r="8" spans="1:15">
      <c r="A8" s="549" t="s">
        <v>170</v>
      </c>
      <c r="B8" s="550" t="s">
        <v>163</v>
      </c>
      <c r="C8" s="550" t="s">
        <v>164</v>
      </c>
    </row>
    <row r="9" spans="1:15">
      <c r="A9" s="549" t="s">
        <v>107</v>
      </c>
      <c r="B9" s="549" t="s">
        <v>168</v>
      </c>
      <c r="C9" s="549">
        <f>+TCOS!L4</f>
        <v>2025</v>
      </c>
    </row>
    <row r="10" spans="1:15">
      <c r="A10" s="551"/>
      <c r="B10" s="552"/>
      <c r="C10" s="550"/>
      <c r="F10" s="427"/>
    </row>
    <row r="11" spans="1:15">
      <c r="A11" s="439">
        <v>1</v>
      </c>
      <c r="B11" s="1111" t="str">
        <f>"Net Funds from IPP Customers 12/31/"&amp;TCOS!L4-1&amp;" ("&amp;TCOS!L4&amp;" FORM 1, P269)"</f>
        <v>Net Funds from IPP Customers 12/31/2024 (2025 FORM 1, P269)</v>
      </c>
      <c r="C11" s="840">
        <v>0</v>
      </c>
      <c r="D11" s="427"/>
      <c r="F11" s="427"/>
    </row>
    <row r="12" spans="1:15">
      <c r="B12" s="594"/>
      <c r="C12" s="846"/>
      <c r="D12" s="427"/>
      <c r="F12" s="427"/>
    </row>
    <row r="13" spans="1:15">
      <c r="A13" s="439">
        <v>2</v>
      </c>
      <c r="B13" s="1111" t="s">
        <v>72</v>
      </c>
      <c r="C13" s="840">
        <v>0</v>
      </c>
      <c r="D13" s="427"/>
      <c r="F13" s="427"/>
    </row>
    <row r="14" spans="1:15">
      <c r="B14" s="1111"/>
      <c r="C14" s="846"/>
      <c r="D14" s="427"/>
      <c r="F14" s="427"/>
    </row>
    <row r="15" spans="1:15">
      <c r="A15" s="439">
        <f>+A13+1</f>
        <v>3</v>
      </c>
      <c r="B15" s="1111" t="s">
        <v>73</v>
      </c>
      <c r="C15" s="840">
        <v>0</v>
      </c>
      <c r="D15" s="427"/>
      <c r="F15" s="427"/>
    </row>
    <row r="16" spans="1:15">
      <c r="B16" s="1111"/>
      <c r="C16" s="846"/>
      <c r="D16" s="427"/>
      <c r="F16" s="427"/>
    </row>
    <row r="17" spans="1:6">
      <c r="A17" s="439">
        <f>+A15+1</f>
        <v>4</v>
      </c>
      <c r="B17" s="1112" t="s">
        <v>229</v>
      </c>
      <c r="C17" s="846"/>
      <c r="D17" s="427"/>
      <c r="F17" s="427"/>
    </row>
    <row r="18" spans="1:6">
      <c r="A18" s="439">
        <f>+A17+1</f>
        <v>5</v>
      </c>
      <c r="B18" s="1111" t="s">
        <v>74</v>
      </c>
      <c r="C18" s="840">
        <v>0</v>
      </c>
      <c r="D18" s="427"/>
      <c r="F18" s="427"/>
    </row>
    <row r="19" spans="1:6">
      <c r="A19" s="439">
        <f>+A18+1</f>
        <v>6</v>
      </c>
      <c r="B19" s="1104" t="s">
        <v>115</v>
      </c>
      <c r="C19" s="847">
        <v>0</v>
      </c>
      <c r="D19" s="427"/>
      <c r="F19" s="427"/>
    </row>
    <row r="20" spans="1:6">
      <c r="B20" s="594"/>
      <c r="C20" s="848"/>
      <c r="D20" s="427"/>
      <c r="F20" s="427"/>
    </row>
    <row r="21" spans="1:6">
      <c r="A21" s="439">
        <f>+A19+1</f>
        <v>7</v>
      </c>
      <c r="B21" s="1111" t="str">
        <f>"Net Funds from IPP Customers 12/31/"&amp;TCOS!L4&amp;" ("&amp;TCOS!L4&amp;" FORM 1, P269)"</f>
        <v>Net Funds from IPP Customers 12/31/2025 (2025 FORM 1, P269)</v>
      </c>
      <c r="C21" s="554">
        <f>+C11+C13+C15+C18+C19</f>
        <v>0</v>
      </c>
      <c r="D21" s="555"/>
      <c r="F21" s="427"/>
    </row>
    <row r="22" spans="1:6">
      <c r="B22" s="594"/>
      <c r="C22" s="554"/>
      <c r="D22" s="427"/>
      <c r="F22" s="427"/>
    </row>
    <row r="23" spans="1:6">
      <c r="A23" s="439">
        <f>+A21+1</f>
        <v>8</v>
      </c>
      <c r="B23" s="1111" t="str">
        <f>"Average Balance for Year as Indicated in Column B ((ln "&amp;A11&amp;" + ln "&amp;A21&amp;")/2)"</f>
        <v>Average Balance for Year as Indicated in Column B ((ln 1 + ln 7)/2)</v>
      </c>
      <c r="C23" s="556">
        <f>AVERAGE(C21,C11)</f>
        <v>0</v>
      </c>
      <c r="D23" s="427"/>
      <c r="F23" s="427"/>
    </row>
    <row r="24" spans="1:6">
      <c r="B24" s="594"/>
      <c r="D24" s="427"/>
    </row>
    <row r="25" spans="1:6">
      <c r="B25" s="383"/>
      <c r="C25" s="557"/>
      <c r="D25" s="427"/>
    </row>
    <row r="26" spans="1:6" ht="15">
      <c r="A26" s="333" t="s">
        <v>500</v>
      </c>
      <c r="B26" s="1544" t="str">
        <f>"On this worksheet Company Records refers to  "&amp;A6&amp;"'s general ledger."</f>
        <v>On this worksheet Company Records refers to  Indiana Michigan Power Company 's general ledger.</v>
      </c>
      <c r="D26" s="427"/>
    </row>
    <row r="27" spans="1:6">
      <c r="B27" s="1537"/>
      <c r="D27" s="427"/>
    </row>
    <row r="28" spans="1:6">
      <c r="B28" s="558"/>
      <c r="D28" s="427"/>
    </row>
    <row r="29" spans="1:6">
      <c r="D29" s="427"/>
    </row>
    <row r="30" spans="1:6">
      <c r="D30" s="427"/>
    </row>
    <row r="31" spans="1:6">
      <c r="D31" s="427"/>
    </row>
    <row r="32" spans="1:6">
      <c r="D32" s="559"/>
    </row>
    <row r="33" spans="1:4">
      <c r="D33" s="427"/>
    </row>
    <row r="34" spans="1:4">
      <c r="D34" s="427"/>
    </row>
    <row r="35" spans="1:4">
      <c r="D35" s="427"/>
    </row>
    <row r="36" spans="1:4">
      <c r="A36" s="551"/>
      <c r="B36" s="427"/>
      <c r="C36" s="427"/>
      <c r="D36" s="427"/>
    </row>
    <row r="37" spans="1:4">
      <c r="A37" s="551"/>
      <c r="B37" s="427"/>
      <c r="C37" s="427"/>
    </row>
    <row r="38" spans="1:4">
      <c r="C38" s="560"/>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O151"/>
  <sheetViews>
    <sheetView view="pageBreakPreview" topLeftCell="A6" zoomScaleNormal="100" zoomScaleSheetLayoutView="100" workbookViewId="0">
      <selection activeCell="H33" sqref="H33"/>
    </sheetView>
  </sheetViews>
  <sheetFormatPr defaultRowHeight="15"/>
  <cols>
    <col min="1" max="1" width="9.42578125" style="561" customWidth="1"/>
    <col min="2" max="2" width="6.7109375" style="561" customWidth="1"/>
    <col min="3" max="8" width="14.5703125" style="561" customWidth="1"/>
    <col min="9" max="9" width="14.85546875" style="561" bestFit="1" customWidth="1"/>
    <col min="10" max="11" width="16.5703125" style="561" bestFit="1" customWidth="1"/>
    <col min="12" max="13" width="22.140625" style="561" bestFit="1" customWidth="1"/>
    <col min="14" max="14" width="8.42578125" style="561" customWidth="1"/>
    <col min="15" max="38" width="12.7109375" style="561" customWidth="1"/>
    <col min="39" max="16384" width="9.140625" style="561"/>
  </cols>
  <sheetData>
    <row r="1" spans="1:22" ht="15.75">
      <c r="A1" s="886" t="s">
        <v>115</v>
      </c>
    </row>
    <row r="2" spans="1:22" ht="15.75">
      <c r="A2" s="886" t="s">
        <v>115</v>
      </c>
    </row>
    <row r="3" spans="1:22">
      <c r="A3" s="1584" t="str">
        <f>+'WS C  - Working Capital'!A3:L3</f>
        <v>AEP East Companies</v>
      </c>
      <c r="B3" s="1584"/>
      <c r="C3" s="1584"/>
      <c r="D3" s="1584"/>
      <c r="E3" s="1584"/>
      <c r="F3" s="1584"/>
      <c r="G3" s="1584"/>
      <c r="H3" s="1584"/>
      <c r="I3" s="1584"/>
      <c r="J3" s="1584"/>
      <c r="K3" s="1584"/>
      <c r="L3" s="546"/>
      <c r="M3" s="546"/>
      <c r="N3" s="546"/>
      <c r="O3" s="546"/>
    </row>
    <row r="4" spans="1:22">
      <c r="A4" s="1585" t="str">
        <f>"Cost of Service Formula Rate Using Actual/Projected FF1 Balances"</f>
        <v>Cost of Service Formula Rate Using Actual/Projected FF1 Balances</v>
      </c>
      <c r="B4" s="1585"/>
      <c r="C4" s="1585"/>
      <c r="D4" s="1585"/>
      <c r="E4" s="1585"/>
      <c r="F4" s="1585"/>
      <c r="G4" s="1585"/>
      <c r="H4" s="1585"/>
      <c r="I4" s="1585"/>
      <c r="J4" s="1585"/>
      <c r="K4" s="1585"/>
      <c r="L4" s="548"/>
      <c r="M4" s="548"/>
      <c r="N4" s="548"/>
      <c r="O4" s="548"/>
    </row>
    <row r="5" spans="1:22">
      <c r="A5" s="1585" t="s">
        <v>238</v>
      </c>
      <c r="B5" s="1585"/>
      <c r="C5" s="1585"/>
      <c r="D5" s="1585"/>
      <c r="E5" s="1585"/>
      <c r="F5" s="1585"/>
      <c r="G5" s="1585"/>
      <c r="H5" s="1585"/>
      <c r="I5" s="1585"/>
      <c r="J5" s="1585"/>
      <c r="K5" s="1585"/>
      <c r="L5" s="547"/>
      <c r="M5" s="547"/>
      <c r="N5" s="547"/>
      <c r="O5" s="547"/>
    </row>
    <row r="6" spans="1:22">
      <c r="A6" s="1586" t="str">
        <f>TCOS!F9</f>
        <v xml:space="preserve">Indiana Michigan Power Company </v>
      </c>
      <c r="B6" s="1586"/>
      <c r="C6" s="1586"/>
      <c r="D6" s="1586"/>
      <c r="E6" s="1586"/>
      <c r="F6" s="1586"/>
      <c r="G6" s="1586"/>
      <c r="H6" s="1586"/>
      <c r="I6" s="1586"/>
      <c r="J6" s="1586"/>
      <c r="K6" s="1586"/>
      <c r="L6" s="341"/>
      <c r="M6" s="341"/>
      <c r="N6" s="341"/>
      <c r="O6" s="341"/>
    </row>
    <row r="7" spans="1:22">
      <c r="A7" s="562"/>
      <c r="B7" s="562"/>
      <c r="C7" s="562"/>
      <c r="D7" s="562"/>
      <c r="E7" s="562"/>
      <c r="F7" s="562"/>
      <c r="G7" s="562"/>
      <c r="H7" s="562"/>
      <c r="I7" s="562"/>
      <c r="J7" s="562"/>
      <c r="K7" s="562"/>
      <c r="L7" s="562"/>
      <c r="M7" s="562"/>
      <c r="N7" s="562"/>
      <c r="O7" s="562"/>
    </row>
    <row r="8" spans="1:22" ht="18">
      <c r="A8" s="1589"/>
      <c r="B8" s="1589"/>
      <c r="C8" s="1589"/>
      <c r="D8" s="1589"/>
      <c r="E8" s="1589"/>
      <c r="F8" s="1589"/>
      <c r="G8" s="1589"/>
      <c r="H8" s="1589"/>
      <c r="I8" s="1589"/>
      <c r="J8" s="1589"/>
      <c r="K8" s="1589"/>
      <c r="L8" s="564"/>
      <c r="M8" s="565"/>
    </row>
    <row r="9" spans="1:22" ht="18">
      <c r="A9" s="563"/>
      <c r="B9" s="563"/>
      <c r="C9" s="563"/>
      <c r="D9" s="563"/>
      <c r="E9" s="563"/>
      <c r="F9" s="563"/>
      <c r="G9" s="563"/>
      <c r="H9" s="563"/>
      <c r="I9" s="563"/>
      <c r="J9" s="563"/>
      <c r="K9" s="563"/>
      <c r="L9" s="564"/>
      <c r="M9" s="565"/>
    </row>
    <row r="10" spans="1:22" ht="15.75">
      <c r="A10" s="566" t="s">
        <v>170</v>
      </c>
      <c r="B10" s="564"/>
      <c r="C10" s="567"/>
      <c r="D10" s="567"/>
      <c r="E10" s="567"/>
      <c r="F10" s="567"/>
      <c r="G10" s="568"/>
      <c r="H10" s="568"/>
      <c r="I10" s="566" t="s">
        <v>183</v>
      </c>
      <c r="J10" s="566" t="s">
        <v>28</v>
      </c>
      <c r="K10" s="569"/>
      <c r="N10" s="570"/>
      <c r="P10" s="570"/>
      <c r="R10" s="570"/>
      <c r="S10" s="570"/>
      <c r="T10" s="570"/>
      <c r="U10" s="534"/>
      <c r="V10" s="534"/>
    </row>
    <row r="11" spans="1:22" ht="15.75">
      <c r="A11" s="566" t="s">
        <v>107</v>
      </c>
      <c r="B11" s="1590" t="s">
        <v>168</v>
      </c>
      <c r="C11" s="1590"/>
      <c r="D11" s="1590"/>
      <c r="E11" s="1590"/>
      <c r="F11" s="1590"/>
      <c r="G11" s="1590"/>
      <c r="H11" s="1590"/>
      <c r="I11" s="571" t="s">
        <v>184</v>
      </c>
      <c r="J11" s="571" t="s">
        <v>116</v>
      </c>
      <c r="K11" s="571" t="s">
        <v>116</v>
      </c>
      <c r="L11" s="572"/>
      <c r="M11" s="572"/>
      <c r="N11" s="570"/>
      <c r="O11" s="570"/>
      <c r="P11" s="570"/>
      <c r="Q11" s="570"/>
      <c r="R11" s="570"/>
      <c r="S11" s="570"/>
      <c r="T11" s="573"/>
      <c r="U11" s="534"/>
      <c r="V11" s="534"/>
    </row>
    <row r="12" spans="1:22" ht="15.75">
      <c r="A12" s="568"/>
      <c r="B12" s="574"/>
      <c r="C12" s="564"/>
      <c r="D12" s="568"/>
      <c r="E12" s="568"/>
      <c r="F12" s="568"/>
      <c r="G12" s="568"/>
      <c r="H12" s="568"/>
      <c r="I12" s="568"/>
      <c r="J12" s="568"/>
      <c r="K12" s="575"/>
      <c r="L12" s="572"/>
      <c r="M12" s="572"/>
      <c r="N12" s="570"/>
      <c r="O12" s="570"/>
      <c r="P12" s="570"/>
      <c r="Q12" s="570"/>
      <c r="R12" s="570"/>
      <c r="S12" s="570"/>
      <c r="T12" s="573"/>
      <c r="U12" s="534"/>
      <c r="V12" s="534"/>
    </row>
    <row r="13" spans="1:22" s="582" customFormat="1" ht="12.75">
      <c r="A13" s="576">
        <v>1</v>
      </c>
      <c r="B13" s="577" t="s">
        <v>483</v>
      </c>
      <c r="C13" s="558"/>
      <c r="D13" s="578"/>
      <c r="E13" s="578"/>
      <c r="F13" s="578"/>
      <c r="G13" s="578"/>
      <c r="H13" s="578"/>
      <c r="I13" s="849">
        <v>5133417.1420800006</v>
      </c>
      <c r="J13" s="579">
        <f>+I13-K12</f>
        <v>5133417.1420800006</v>
      </c>
      <c r="K13" s="849">
        <v>0</v>
      </c>
      <c r="L13" s="580"/>
      <c r="M13" s="580"/>
      <c r="N13" s="558"/>
      <c r="O13" s="558"/>
      <c r="P13" s="558"/>
      <c r="Q13" s="558"/>
      <c r="R13" s="558"/>
      <c r="S13" s="558"/>
      <c r="T13" s="581"/>
      <c r="U13" s="558"/>
      <c r="V13" s="558"/>
    </row>
    <row r="14" spans="1:22" s="582" customFormat="1" ht="12.75">
      <c r="A14" s="583"/>
      <c r="B14" s="584"/>
      <c r="C14" s="585"/>
      <c r="D14" s="586"/>
      <c r="E14" s="586"/>
      <c r="F14" s="586"/>
      <c r="G14" s="586"/>
      <c r="H14" s="578"/>
      <c r="I14" s="587"/>
      <c r="J14" s="588"/>
      <c r="K14" s="587"/>
      <c r="L14" s="580"/>
      <c r="M14" s="580"/>
      <c r="N14" s="558"/>
      <c r="O14" s="558"/>
      <c r="P14" s="558"/>
      <c r="Q14" s="558"/>
      <c r="R14" s="558"/>
      <c r="S14" s="558"/>
      <c r="T14" s="581"/>
      <c r="U14" s="558"/>
      <c r="V14" s="558"/>
    </row>
    <row r="15" spans="1:22" s="582" customFormat="1" ht="12.75">
      <c r="A15" s="576">
        <f>+A13+1</f>
        <v>2</v>
      </c>
      <c r="B15" s="589" t="s">
        <v>484</v>
      </c>
      <c r="C15" s="558"/>
      <c r="D15" s="578"/>
      <c r="E15" s="578"/>
      <c r="F15" s="578"/>
      <c r="G15" s="578"/>
      <c r="H15" s="578"/>
      <c r="I15" s="849">
        <v>2438549.26751999</v>
      </c>
      <c r="J15" s="579">
        <f>+I15-K15</f>
        <v>2423213.4339216542</v>
      </c>
      <c r="K15" s="849">
        <v>15335.83359833589</v>
      </c>
      <c r="L15" s="580"/>
      <c r="M15" s="580"/>
      <c r="N15" s="558"/>
      <c r="O15" s="558"/>
      <c r="P15" s="558"/>
      <c r="Q15" s="558"/>
      <c r="R15" s="558"/>
      <c r="S15" s="558"/>
      <c r="T15" s="558"/>
      <c r="U15" s="558"/>
      <c r="V15" s="558"/>
    </row>
    <row r="16" spans="1:22" s="582" customFormat="1" ht="12.75">
      <c r="A16" s="583"/>
      <c r="B16" s="590"/>
      <c r="C16" s="585"/>
      <c r="D16" s="586"/>
      <c r="E16" s="586"/>
      <c r="F16" s="586"/>
      <c r="G16" s="586"/>
      <c r="H16" s="578"/>
      <c r="I16" s="588"/>
      <c r="J16" s="588"/>
      <c r="K16" s="588"/>
      <c r="L16" s="580"/>
      <c r="M16" s="580"/>
      <c r="N16" s="558"/>
      <c r="O16" s="558"/>
      <c r="P16" s="558"/>
      <c r="Q16" s="558"/>
      <c r="R16" s="558"/>
      <c r="S16" s="558"/>
      <c r="T16" s="558"/>
      <c r="U16" s="558"/>
      <c r="V16" s="558"/>
    </row>
    <row r="17" spans="1:22" s="582" customFormat="1" ht="12.75">
      <c r="A17" s="576">
        <f>+A15+1</f>
        <v>3</v>
      </c>
      <c r="B17" s="589" t="s">
        <v>485</v>
      </c>
      <c r="C17" s="558"/>
      <c r="D17" s="578"/>
      <c r="E17" s="578"/>
      <c r="F17" s="578"/>
      <c r="G17" s="578"/>
      <c r="H17" s="578"/>
      <c r="I17" s="849">
        <v>15612610.810888</v>
      </c>
      <c r="J17" s="579">
        <f>+I17-K17</f>
        <v>7869485.2173240492</v>
      </c>
      <c r="K17" s="849">
        <v>7743125.5935639506</v>
      </c>
      <c r="L17" s="580"/>
      <c r="M17" s="580"/>
      <c r="N17" s="558"/>
      <c r="O17" s="558"/>
      <c r="P17" s="558"/>
      <c r="Q17" s="558"/>
      <c r="R17" s="558"/>
      <c r="S17" s="558"/>
      <c r="T17" s="558"/>
      <c r="U17" s="558"/>
      <c r="V17" s="558"/>
    </row>
    <row r="18" spans="1:22" s="582" customFormat="1" ht="12.75">
      <c r="A18" s="583"/>
      <c r="B18" s="588"/>
      <c r="C18" s="594"/>
      <c r="D18" s="588"/>
      <c r="E18" s="588"/>
      <c r="F18" s="588"/>
      <c r="G18" s="591"/>
      <c r="H18" s="588"/>
      <c r="I18" s="588"/>
      <c r="J18" s="588"/>
      <c r="K18" s="588"/>
      <c r="L18" s="580"/>
      <c r="M18" s="580"/>
      <c r="N18" s="558"/>
      <c r="O18" s="558"/>
      <c r="P18" s="558"/>
      <c r="Q18" s="558"/>
      <c r="R18" s="558"/>
      <c r="S18" s="558"/>
      <c r="T18" s="558"/>
      <c r="U18" s="558"/>
      <c r="V18" s="558"/>
    </row>
    <row r="19" spans="1:22" s="582" customFormat="1" ht="12.75">
      <c r="A19" s="576">
        <f>+A17+1</f>
        <v>4</v>
      </c>
      <c r="B19" s="577" t="s">
        <v>752</v>
      </c>
      <c r="C19" s="594"/>
      <c r="D19" s="588"/>
      <c r="E19" s="588"/>
      <c r="F19" s="588"/>
      <c r="G19" s="591"/>
      <c r="H19" s="588"/>
      <c r="I19" s="849">
        <v>3617091.9999999502</v>
      </c>
      <c r="J19" s="579">
        <f>+I19-K19</f>
        <v>3091644.9951527617</v>
      </c>
      <c r="K19" s="849">
        <v>525447.00484718836</v>
      </c>
      <c r="L19" s="580"/>
      <c r="M19" s="580"/>
      <c r="N19" s="593"/>
      <c r="O19" s="558"/>
      <c r="P19" s="558"/>
      <c r="Q19" s="558"/>
      <c r="R19" s="558"/>
      <c r="S19" s="558"/>
      <c r="T19" s="558"/>
      <c r="U19" s="558"/>
      <c r="V19" s="558"/>
    </row>
    <row r="20" spans="1:22" s="582" customFormat="1" ht="12.75">
      <c r="A20" s="583"/>
      <c r="B20" s="577"/>
      <c r="C20" s="594"/>
      <c r="D20" s="588"/>
      <c r="E20" s="588"/>
      <c r="F20" s="588"/>
      <c r="G20" s="591"/>
      <c r="H20" s="588"/>
      <c r="I20" s="558"/>
      <c r="J20" s="558"/>
      <c r="K20" s="558"/>
      <c r="L20" s="594"/>
      <c r="M20" s="580"/>
      <c r="N20" s="593"/>
      <c r="O20" s="558"/>
      <c r="P20" s="558"/>
      <c r="Q20" s="558"/>
      <c r="R20" s="558"/>
      <c r="S20" s="558"/>
      <c r="T20" s="558"/>
      <c r="U20" s="558"/>
      <c r="V20" s="558"/>
    </row>
    <row r="21" spans="1:22" s="582" customFormat="1" ht="12.75">
      <c r="A21" s="576">
        <f>+A19+1</f>
        <v>5</v>
      </c>
      <c r="B21" s="577" t="s">
        <v>753</v>
      </c>
      <c r="C21" s="594"/>
      <c r="D21" s="588"/>
      <c r="E21" s="588"/>
      <c r="F21" s="588"/>
      <c r="G21" s="591"/>
      <c r="H21" s="588"/>
      <c r="I21" s="849">
        <v>61386901.289898954</v>
      </c>
      <c r="J21" s="579">
        <f>+I21-K21</f>
        <v>61382115.375262395</v>
      </c>
      <c r="K21" s="849">
        <v>4785.9146365581073</v>
      </c>
      <c r="L21" s="580"/>
      <c r="M21" s="580"/>
      <c r="N21" s="593"/>
      <c r="O21" s="558"/>
      <c r="P21" s="558"/>
      <c r="Q21" s="558"/>
      <c r="R21" s="558"/>
      <c r="S21" s="558"/>
      <c r="T21" s="558"/>
      <c r="U21" s="558"/>
      <c r="V21" s="558"/>
    </row>
    <row r="22" spans="1:22" s="582" customFormat="1" ht="12.75">
      <c r="A22" s="576"/>
      <c r="B22" s="577"/>
      <c r="C22" s="594"/>
      <c r="D22" s="588"/>
      <c r="E22" s="588"/>
      <c r="F22" s="588"/>
      <c r="G22" s="591"/>
      <c r="H22" s="588"/>
      <c r="I22" s="885"/>
      <c r="J22" s="579"/>
      <c r="K22" s="885"/>
      <c r="L22" s="580"/>
      <c r="M22" s="580"/>
      <c r="N22" s="593"/>
      <c r="O22" s="558"/>
      <c r="P22" s="558"/>
      <c r="Q22" s="558"/>
      <c r="R22" s="558"/>
      <c r="S22" s="558"/>
      <c r="T22" s="558"/>
      <c r="U22" s="558"/>
      <c r="V22" s="558"/>
    </row>
    <row r="23" spans="1:22" s="582" customFormat="1" ht="12.75">
      <c r="A23" s="576" t="s">
        <v>611</v>
      </c>
      <c r="B23" s="577" t="s">
        <v>614</v>
      </c>
      <c r="C23" s="594"/>
      <c r="D23" s="588"/>
      <c r="E23" s="588"/>
      <c r="F23" s="588"/>
      <c r="G23" s="591"/>
      <c r="H23" s="588"/>
      <c r="I23" s="849"/>
      <c r="J23" s="579">
        <v>0</v>
      </c>
      <c r="K23" s="849"/>
      <c r="L23" s="580"/>
      <c r="M23" s="580"/>
      <c r="N23" s="593"/>
      <c r="O23" s="558"/>
      <c r="P23" s="558"/>
      <c r="Q23" s="558"/>
      <c r="R23" s="558"/>
      <c r="S23" s="558"/>
      <c r="T23" s="558"/>
      <c r="U23" s="558"/>
      <c r="V23" s="558"/>
    </row>
    <row r="24" spans="1:22" s="582" customFormat="1" ht="12.75">
      <c r="A24" s="576"/>
      <c r="B24" s="577"/>
      <c r="C24" s="594"/>
      <c r="D24" s="588"/>
      <c r="E24" s="588"/>
      <c r="F24" s="588"/>
      <c r="G24" s="591"/>
      <c r="H24" s="588"/>
      <c r="I24" s="885"/>
      <c r="J24" s="579"/>
      <c r="K24" s="885"/>
      <c r="L24" s="580"/>
      <c r="M24" s="580"/>
      <c r="N24" s="593"/>
      <c r="O24" s="558"/>
      <c r="P24" s="558"/>
      <c r="Q24" s="558"/>
      <c r="R24" s="558"/>
      <c r="S24" s="558"/>
      <c r="T24" s="558"/>
      <c r="U24" s="558"/>
      <c r="V24" s="558"/>
    </row>
    <row r="25" spans="1:22" s="582" customFormat="1" ht="12.75">
      <c r="A25" s="576" t="s">
        <v>612</v>
      </c>
      <c r="B25" s="577" t="s">
        <v>613</v>
      </c>
      <c r="C25" s="594"/>
      <c r="D25" s="588"/>
      <c r="E25" s="588"/>
      <c r="F25" s="588"/>
      <c r="G25" s="591"/>
      <c r="H25" s="588"/>
      <c r="I25" s="849"/>
      <c r="J25" s="579">
        <v>0</v>
      </c>
      <c r="K25" s="849"/>
      <c r="L25" s="580"/>
      <c r="M25" s="580"/>
      <c r="N25" s="593"/>
      <c r="O25" s="558"/>
      <c r="P25" s="558"/>
      <c r="Q25" s="558"/>
      <c r="R25" s="558"/>
      <c r="S25" s="558"/>
      <c r="T25" s="558"/>
      <c r="U25" s="558"/>
      <c r="V25" s="558"/>
    </row>
    <row r="26" spans="1:22" s="582" customFormat="1" ht="12.75">
      <c r="A26" s="576"/>
      <c r="B26" s="577"/>
      <c r="C26" s="594"/>
      <c r="D26" s="588"/>
      <c r="E26" s="588"/>
      <c r="F26" s="588"/>
      <c r="G26" s="591"/>
      <c r="H26" s="588"/>
      <c r="I26" s="558"/>
      <c r="J26" s="558"/>
      <c r="L26" s="580"/>
      <c r="M26" s="580"/>
      <c r="N26" s="558"/>
      <c r="O26" s="558"/>
      <c r="P26" s="558"/>
      <c r="Q26" s="558"/>
      <c r="R26" s="558"/>
      <c r="S26" s="558"/>
      <c r="T26" s="558"/>
      <c r="U26" s="558"/>
      <c r="V26" s="558"/>
    </row>
    <row r="27" spans="1:22" s="582" customFormat="1" ht="12.75">
      <c r="A27" s="576">
        <f>+A21+1</f>
        <v>6</v>
      </c>
      <c r="B27" s="577" t="s">
        <v>75</v>
      </c>
      <c r="C27" s="594"/>
      <c r="D27" s="588"/>
      <c r="E27" s="588"/>
      <c r="F27" s="588"/>
      <c r="G27" s="591"/>
      <c r="H27" s="588"/>
      <c r="I27" s="595">
        <f>+I21+I19+I17+I15+I13+I23+I25</f>
        <v>88188570.510386884</v>
      </c>
      <c r="J27" s="595">
        <f>+J21+J19+J17+J15+J13+J23+J25</f>
        <v>79899876.163740858</v>
      </c>
      <c r="K27" s="595">
        <f>+K21+K19+K17+K15+K13+K23+K25</f>
        <v>8288694.3466460332</v>
      </c>
      <c r="L27" s="580"/>
      <c r="M27" s="580"/>
      <c r="N27" s="558"/>
      <c r="O27" s="558"/>
      <c r="P27" s="558"/>
      <c r="Q27" s="558"/>
      <c r="R27" s="558"/>
      <c r="S27" s="558"/>
      <c r="T27" s="558"/>
      <c r="U27" s="558"/>
      <c r="V27" s="558"/>
    </row>
    <row r="28" spans="1:22" s="582" customFormat="1" ht="12.75">
      <c r="A28" s="576"/>
      <c r="B28" s="577"/>
      <c r="C28" s="594"/>
      <c r="D28" s="588"/>
      <c r="E28" s="588"/>
      <c r="F28" s="588"/>
      <c r="G28" s="591"/>
      <c r="H28" s="588"/>
      <c r="I28" s="558"/>
      <c r="J28" s="558"/>
      <c r="K28" s="558"/>
      <c r="L28" s="580"/>
      <c r="M28" s="580"/>
      <c r="N28" s="558"/>
      <c r="O28" s="558"/>
      <c r="P28" s="558"/>
      <c r="Q28" s="558"/>
      <c r="R28" s="558"/>
      <c r="S28" s="558"/>
      <c r="T28" s="558"/>
      <c r="U28" s="558"/>
      <c r="V28" s="558"/>
    </row>
    <row r="29" spans="1:22" s="582" customFormat="1" ht="12.75">
      <c r="A29" s="576">
        <f>+A27+1</f>
        <v>7</v>
      </c>
      <c r="B29" s="1588" t="s">
        <v>486</v>
      </c>
      <c r="C29" s="1537"/>
      <c r="D29" s="1537"/>
      <c r="E29" s="1537"/>
      <c r="F29" s="1537"/>
      <c r="G29" s="1537"/>
      <c r="H29" s="588"/>
      <c r="I29" s="849"/>
      <c r="J29" s="579">
        <f>+I29-K29</f>
        <v>0</v>
      </c>
      <c r="K29" s="849"/>
      <c r="L29" s="580"/>
      <c r="M29" s="580"/>
      <c r="N29" s="558"/>
      <c r="O29" s="558"/>
      <c r="P29" s="558"/>
      <c r="Q29" s="558"/>
      <c r="R29" s="558"/>
      <c r="S29" s="558"/>
      <c r="T29" s="558"/>
      <c r="U29" s="558"/>
      <c r="V29" s="558"/>
    </row>
    <row r="30" spans="1:22" s="582" customFormat="1" ht="12.75">
      <c r="A30" s="1104"/>
      <c r="B30" s="1537"/>
      <c r="C30" s="1537"/>
      <c r="D30" s="1537"/>
      <c r="E30" s="1537"/>
      <c r="F30" s="1537"/>
      <c r="G30" s="1537"/>
      <c r="H30" s="578"/>
      <c r="I30" s="596"/>
      <c r="J30" s="578"/>
      <c r="K30" s="597"/>
      <c r="L30" s="580"/>
      <c r="M30" s="580"/>
      <c r="N30" s="558"/>
      <c r="O30" s="558"/>
      <c r="P30" s="558"/>
      <c r="Q30" s="558"/>
      <c r="R30" s="558"/>
      <c r="S30" s="558"/>
      <c r="T30" s="558"/>
      <c r="U30" s="558"/>
      <c r="V30" s="558"/>
    </row>
    <row r="31" spans="1:22" s="582" customFormat="1" ht="12.75">
      <c r="A31" s="576">
        <f>+A29+1</f>
        <v>8</v>
      </c>
      <c r="B31" s="584" t="s">
        <v>216</v>
      </c>
      <c r="C31" s="585"/>
      <c r="D31" s="586"/>
      <c r="E31" s="586"/>
      <c r="F31" s="586"/>
      <c r="G31" s="592"/>
      <c r="H31" s="578"/>
      <c r="I31" s="598">
        <f>SUM(I27:I29)</f>
        <v>88188570.510386884</v>
      </c>
      <c r="J31" s="598">
        <f>SUM(J27:J29)</f>
        <v>79899876.163740858</v>
      </c>
      <c r="K31" s="598">
        <f>SUM(K27:K29)</f>
        <v>8288694.3466460332</v>
      </c>
      <c r="L31" s="580"/>
      <c r="M31" s="580"/>
      <c r="N31" s="558"/>
      <c r="O31" s="558"/>
      <c r="P31" s="558"/>
      <c r="Q31" s="558"/>
      <c r="R31" s="558"/>
      <c r="S31" s="558"/>
      <c r="T31" s="558"/>
      <c r="U31" s="558"/>
      <c r="V31" s="558"/>
    </row>
    <row r="32" spans="1:22" s="582" customFormat="1" ht="12.75">
      <c r="A32" s="576"/>
      <c r="B32" s="584"/>
      <c r="C32" s="585"/>
      <c r="D32" s="586"/>
      <c r="E32" s="586"/>
      <c r="F32" s="586"/>
      <c r="G32" s="592"/>
      <c r="H32" s="578"/>
      <c r="I32" s="597"/>
      <c r="J32" s="597"/>
      <c r="K32" s="597"/>
      <c r="L32" s="580"/>
      <c r="M32" s="580"/>
      <c r="N32" s="558"/>
      <c r="O32" s="558"/>
      <c r="P32" s="558"/>
      <c r="Q32" s="558"/>
      <c r="R32" s="558"/>
      <c r="S32" s="558"/>
      <c r="T32" s="558"/>
      <c r="U32" s="558"/>
      <c r="V32" s="558"/>
    </row>
    <row r="33" spans="1:41" s="582" customFormat="1" ht="12.75">
      <c r="A33" s="576"/>
      <c r="B33" s="584"/>
      <c r="C33" s="585"/>
      <c r="D33" s="586"/>
      <c r="E33" s="586"/>
      <c r="F33" s="586"/>
      <c r="G33" s="592"/>
      <c r="H33" s="578"/>
      <c r="I33" s="597"/>
      <c r="J33" s="597"/>
      <c r="K33" s="597"/>
      <c r="L33" s="580"/>
      <c r="M33" s="580"/>
      <c r="N33" s="558"/>
      <c r="O33" s="558"/>
      <c r="P33" s="558"/>
      <c r="Q33" s="558"/>
      <c r="R33" s="558"/>
      <c r="S33" s="558"/>
      <c r="T33" s="558"/>
      <c r="U33" s="558"/>
      <c r="V33" s="558"/>
    </row>
    <row r="34" spans="1:41" s="582" customFormat="1" ht="12.75">
      <c r="A34" s="1115"/>
      <c r="L34" s="580"/>
      <c r="M34" s="580"/>
      <c r="N34" s="558"/>
      <c r="O34" s="558"/>
      <c r="P34" s="558"/>
      <c r="Q34" s="558"/>
      <c r="R34" s="558"/>
      <c r="S34" s="558"/>
      <c r="T34" s="558"/>
      <c r="U34" s="558"/>
      <c r="V34" s="558"/>
    </row>
    <row r="35" spans="1:41">
      <c r="A35" s="1116"/>
      <c r="B35" s="558"/>
      <c r="C35" s="577"/>
      <c r="D35" s="578"/>
      <c r="E35" s="578"/>
      <c r="F35" s="578"/>
      <c r="G35" s="591"/>
      <c r="H35" s="578"/>
      <c r="I35" s="578"/>
      <c r="J35" s="578"/>
      <c r="K35" s="578"/>
      <c r="L35" s="599"/>
      <c r="M35" s="600"/>
      <c r="N35" s="534"/>
      <c r="O35" s="567"/>
      <c r="P35" s="567"/>
      <c r="Q35" s="567"/>
      <c r="R35" s="567"/>
      <c r="S35" s="534"/>
      <c r="T35" s="534"/>
      <c r="U35" s="534"/>
      <c r="V35" s="534"/>
    </row>
    <row r="36" spans="1:41" ht="15" customHeight="1">
      <c r="A36" s="1104" t="s">
        <v>500</v>
      </c>
      <c r="B36" s="1587"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Indiana Michigan Power Company 's general ledger. The functional amounts identified as transmission revenue also come from the general ledger. </v>
      </c>
      <c r="C36" s="1587"/>
      <c r="D36" s="1587"/>
      <c r="E36" s="1587"/>
      <c r="F36" s="1587"/>
      <c r="G36" s="1587"/>
      <c r="H36" s="1587"/>
      <c r="I36" s="1587"/>
      <c r="J36" s="1587"/>
      <c r="K36" s="558"/>
      <c r="L36" s="602"/>
      <c r="M36" s="602"/>
      <c r="N36" s="534"/>
      <c r="O36" s="567"/>
      <c r="P36" s="567"/>
      <c r="Q36" s="567"/>
      <c r="R36" s="567"/>
      <c r="S36" s="534"/>
      <c r="T36" s="570"/>
      <c r="U36" s="534"/>
      <c r="V36" s="534"/>
    </row>
    <row r="37" spans="1:41" ht="15.75">
      <c r="A37" s="1104"/>
      <c r="B37" s="1587"/>
      <c r="C37" s="1587"/>
      <c r="D37" s="1587"/>
      <c r="E37" s="1587"/>
      <c r="F37" s="1587"/>
      <c r="G37" s="1587"/>
      <c r="H37" s="1587"/>
      <c r="I37" s="1587"/>
      <c r="J37" s="1587"/>
      <c r="K37" s="558"/>
      <c r="L37" s="533"/>
      <c r="M37" s="603"/>
      <c r="N37" s="603"/>
      <c r="O37" s="603"/>
      <c r="P37" s="603"/>
      <c r="Q37" s="603"/>
      <c r="R37" s="533"/>
      <c r="S37" s="533"/>
      <c r="T37" s="533"/>
      <c r="U37" s="533"/>
      <c r="V37" s="533"/>
      <c r="W37" s="572"/>
      <c r="X37" s="572"/>
      <c r="Y37" s="572"/>
      <c r="Z37" s="572"/>
      <c r="AA37" s="572"/>
      <c r="AB37" s="572"/>
      <c r="AC37" s="572"/>
      <c r="AD37" s="572"/>
      <c r="AE37" s="572"/>
      <c r="AF37" s="572"/>
      <c r="AG37" s="572"/>
      <c r="AH37" s="572"/>
      <c r="AI37" s="572"/>
      <c r="AJ37" s="572"/>
      <c r="AK37" s="572"/>
      <c r="AL37" s="572"/>
      <c r="AM37" s="572"/>
      <c r="AN37" s="572"/>
      <c r="AO37" s="572"/>
    </row>
    <row r="38" spans="1:41" ht="15.75">
      <c r="A38" s="1104" t="s">
        <v>609</v>
      </c>
      <c r="B38" s="1113" t="s">
        <v>610</v>
      </c>
      <c r="C38" s="1114"/>
      <c r="D38" s="1114"/>
      <c r="E38" s="1114"/>
      <c r="F38" s="1114"/>
      <c r="G38" s="1114"/>
      <c r="H38" s="1114"/>
      <c r="I38" s="601"/>
      <c r="J38" s="601"/>
      <c r="K38" s="604"/>
      <c r="L38" s="533"/>
      <c r="M38" s="603"/>
      <c r="N38" s="603"/>
      <c r="O38" s="603"/>
      <c r="P38" s="603"/>
      <c r="Q38" s="603"/>
      <c r="R38" s="533"/>
      <c r="S38" s="533"/>
      <c r="T38" s="533"/>
      <c r="U38" s="533"/>
      <c r="V38" s="533"/>
      <c r="W38" s="572"/>
      <c r="X38" s="572"/>
      <c r="Y38" s="572"/>
      <c r="Z38" s="572"/>
      <c r="AA38" s="572"/>
      <c r="AB38" s="572"/>
      <c r="AC38" s="572"/>
      <c r="AD38" s="572"/>
      <c r="AE38" s="572"/>
      <c r="AF38" s="572"/>
      <c r="AG38" s="572"/>
      <c r="AH38" s="572"/>
      <c r="AI38" s="572"/>
      <c r="AJ38" s="572"/>
      <c r="AK38" s="572"/>
      <c r="AL38" s="572"/>
      <c r="AM38" s="572"/>
      <c r="AN38" s="572"/>
      <c r="AO38" s="572"/>
    </row>
    <row r="39" spans="1:41" ht="15.75">
      <c r="A39" s="576">
        <f>+A31+1</f>
        <v>9</v>
      </c>
      <c r="B39" s="589" t="s">
        <v>536</v>
      </c>
      <c r="C39" s="558"/>
      <c r="D39" s="578"/>
      <c r="E39" s="578"/>
      <c r="F39" s="578"/>
      <c r="G39" s="591"/>
      <c r="H39" s="578"/>
      <c r="I39" s="597"/>
      <c r="J39" s="597"/>
      <c r="K39" s="849">
        <v>343910.31425415445</v>
      </c>
      <c r="L39" s="533"/>
      <c r="M39" s="603"/>
      <c r="N39" s="603"/>
      <c r="O39" s="603"/>
      <c r="P39" s="603"/>
      <c r="Q39" s="603"/>
      <c r="R39" s="533"/>
      <c r="S39" s="533"/>
      <c r="T39" s="533"/>
      <c r="U39" s="533"/>
      <c r="V39" s="533"/>
      <c r="W39" s="572"/>
      <c r="X39" s="572"/>
      <c r="Y39" s="572"/>
      <c r="Z39" s="572"/>
      <c r="AA39" s="572"/>
      <c r="AB39" s="572"/>
      <c r="AC39" s="572"/>
      <c r="AD39" s="572"/>
      <c r="AE39" s="572"/>
      <c r="AF39" s="572"/>
      <c r="AG39" s="572"/>
      <c r="AH39" s="572"/>
      <c r="AI39" s="572"/>
      <c r="AJ39" s="572"/>
      <c r="AK39" s="572"/>
      <c r="AL39" s="572"/>
      <c r="AM39" s="572"/>
      <c r="AN39" s="572"/>
      <c r="AO39" s="572"/>
    </row>
    <row r="40" spans="1:41" ht="15.75">
      <c r="A40" s="534"/>
      <c r="B40" s="533"/>
      <c r="E40" s="603"/>
      <c r="F40" s="603"/>
      <c r="G40" s="603"/>
      <c r="H40" s="603"/>
      <c r="I40" s="605"/>
      <c r="J40" s="603"/>
      <c r="K40" s="603"/>
      <c r="L40" s="533"/>
      <c r="M40" s="603"/>
      <c r="N40" s="603"/>
      <c r="O40" s="603"/>
      <c r="P40" s="603"/>
      <c r="Q40" s="603"/>
      <c r="R40" s="533"/>
      <c r="S40" s="533"/>
      <c r="T40" s="533"/>
      <c r="U40" s="533"/>
      <c r="V40" s="533"/>
      <c r="W40" s="572"/>
      <c r="X40" s="572"/>
      <c r="Y40" s="572"/>
      <c r="Z40" s="572"/>
      <c r="AA40" s="572"/>
      <c r="AB40" s="572"/>
      <c r="AC40" s="572"/>
      <c r="AD40" s="572"/>
      <c r="AE40" s="572"/>
      <c r="AF40" s="572"/>
      <c r="AG40" s="572"/>
      <c r="AH40" s="572"/>
      <c r="AI40" s="572"/>
      <c r="AJ40" s="572"/>
      <c r="AK40" s="572"/>
      <c r="AL40" s="572"/>
      <c r="AM40" s="572"/>
      <c r="AN40" s="572"/>
      <c r="AO40" s="572"/>
    </row>
    <row r="41" spans="1:41" ht="15.75">
      <c r="A41" s="534"/>
      <c r="B41" s="533"/>
      <c r="E41" s="603"/>
      <c r="F41" s="603"/>
      <c r="G41" s="603"/>
      <c r="H41" s="603"/>
      <c r="I41" s="603" t="s">
        <v>115</v>
      </c>
      <c r="J41" s="603"/>
      <c r="K41" s="603"/>
      <c r="L41" s="533"/>
      <c r="M41" s="603"/>
      <c r="N41" s="603"/>
      <c r="O41" s="603"/>
      <c r="P41" s="603"/>
      <c r="Q41" s="603"/>
      <c r="R41" s="533"/>
      <c r="S41" s="533"/>
      <c r="T41" s="533"/>
      <c r="U41" s="533"/>
      <c r="V41" s="533"/>
      <c r="W41" s="572"/>
      <c r="X41" s="572"/>
      <c r="Y41" s="572"/>
      <c r="Z41" s="572"/>
      <c r="AA41" s="572"/>
      <c r="AB41" s="572"/>
      <c r="AC41" s="572"/>
      <c r="AD41" s="572"/>
      <c r="AE41" s="572"/>
      <c r="AF41" s="572"/>
      <c r="AG41" s="572"/>
      <c r="AH41" s="572"/>
      <c r="AI41" s="572"/>
      <c r="AJ41" s="572"/>
      <c r="AK41" s="572"/>
      <c r="AL41" s="572"/>
      <c r="AM41" s="572"/>
      <c r="AN41" s="572"/>
      <c r="AO41" s="572"/>
    </row>
    <row r="42" spans="1:41" ht="15.75">
      <c r="A42" s="534"/>
      <c r="B42" s="533"/>
      <c r="E42" s="603"/>
      <c r="F42" s="603"/>
      <c r="G42" s="603"/>
      <c r="H42" s="603"/>
      <c r="I42" s="603" t="s">
        <v>115</v>
      </c>
      <c r="J42" s="603"/>
      <c r="K42" s="603"/>
      <c r="L42" s="533"/>
      <c r="M42" s="603"/>
      <c r="N42" s="603"/>
      <c r="O42" s="603"/>
      <c r="P42" s="603"/>
      <c r="Q42" s="603"/>
      <c r="R42" s="533"/>
      <c r="S42" s="533"/>
      <c r="T42" s="533"/>
      <c r="U42" s="533"/>
      <c r="V42" s="533"/>
      <c r="W42" s="572"/>
      <c r="X42" s="572"/>
      <c r="Y42" s="572"/>
      <c r="Z42" s="572"/>
      <c r="AA42" s="572"/>
      <c r="AB42" s="572"/>
      <c r="AC42" s="572"/>
      <c r="AD42" s="572"/>
      <c r="AE42" s="572"/>
      <c r="AF42" s="572"/>
      <c r="AG42" s="572"/>
      <c r="AH42" s="572"/>
      <c r="AI42" s="572"/>
      <c r="AJ42" s="572"/>
      <c r="AK42" s="572"/>
      <c r="AL42" s="572"/>
      <c r="AM42" s="572"/>
      <c r="AN42" s="572"/>
      <c r="AO42" s="572"/>
    </row>
    <row r="43" spans="1:41" ht="15.75">
      <c r="A43" s="534"/>
      <c r="B43" s="533"/>
      <c r="E43" s="603"/>
      <c r="F43" s="603"/>
      <c r="G43" s="603"/>
      <c r="H43" s="603"/>
      <c r="I43" s="603"/>
      <c r="J43" s="603"/>
      <c r="K43" s="603"/>
      <c r="L43" s="533"/>
      <c r="M43" s="603"/>
      <c r="N43" s="603"/>
      <c r="O43" s="603"/>
      <c r="P43" s="603"/>
      <c r="Q43" s="603"/>
      <c r="R43" s="533"/>
      <c r="S43" s="533"/>
      <c r="T43" s="533"/>
      <c r="U43" s="533"/>
      <c r="V43" s="533"/>
      <c r="W43" s="572"/>
      <c r="X43" s="572"/>
      <c r="Y43" s="572"/>
      <c r="Z43" s="572"/>
      <c r="AA43" s="572"/>
      <c r="AB43" s="572"/>
      <c r="AC43" s="572"/>
      <c r="AD43" s="572"/>
      <c r="AE43" s="572"/>
      <c r="AF43" s="572"/>
      <c r="AG43" s="572"/>
      <c r="AH43" s="572"/>
      <c r="AI43" s="572"/>
      <c r="AJ43" s="572"/>
      <c r="AK43" s="572"/>
      <c r="AL43" s="572"/>
      <c r="AM43" s="572"/>
      <c r="AN43" s="572"/>
      <c r="AO43" s="572"/>
    </row>
    <row r="44" spans="1:41" ht="15.75">
      <c r="A44" s="534"/>
      <c r="B44" s="533"/>
      <c r="E44" s="603"/>
      <c r="F44" s="603"/>
      <c r="G44" s="603"/>
      <c r="H44" s="603"/>
      <c r="I44" s="603"/>
      <c r="J44" s="603"/>
      <c r="K44" s="603"/>
      <c r="L44" s="533"/>
      <c r="M44" s="603"/>
      <c r="N44" s="603"/>
      <c r="O44" s="603"/>
      <c r="P44" s="603"/>
      <c r="Q44" s="603"/>
      <c r="R44" s="533"/>
      <c r="S44" s="533"/>
      <c r="T44" s="533"/>
      <c r="U44" s="533"/>
      <c r="V44" s="533"/>
      <c r="W44" s="572"/>
      <c r="X44" s="572"/>
      <c r="Y44" s="572"/>
      <c r="Z44" s="572"/>
      <c r="AA44" s="572"/>
      <c r="AB44" s="572"/>
      <c r="AC44" s="572"/>
      <c r="AD44" s="572"/>
      <c r="AE44" s="572"/>
      <c r="AF44" s="572"/>
      <c r="AG44" s="572"/>
      <c r="AH44" s="572"/>
      <c r="AI44" s="572"/>
      <c r="AJ44" s="572"/>
      <c r="AK44" s="572"/>
      <c r="AL44" s="572"/>
      <c r="AM44" s="572"/>
      <c r="AN44" s="572"/>
      <c r="AO44" s="572"/>
    </row>
    <row r="45" spans="1:41" ht="15.75">
      <c r="A45" s="534"/>
      <c r="B45" s="533"/>
      <c r="E45" s="603"/>
      <c r="F45" s="603"/>
      <c r="G45" s="603"/>
      <c r="H45" s="603"/>
      <c r="I45" s="603"/>
      <c r="J45" s="603"/>
      <c r="K45" s="603"/>
      <c r="L45" s="533"/>
      <c r="M45" s="603"/>
      <c r="N45" s="603"/>
      <c r="O45" s="603"/>
      <c r="P45" s="603"/>
      <c r="Q45" s="603"/>
      <c r="R45" s="533"/>
      <c r="S45" s="533"/>
      <c r="T45" s="533"/>
      <c r="U45" s="533"/>
      <c r="V45" s="533"/>
      <c r="W45" s="572"/>
      <c r="X45" s="572"/>
      <c r="Y45" s="572"/>
      <c r="Z45" s="572"/>
      <c r="AA45" s="572"/>
      <c r="AB45" s="572"/>
      <c r="AC45" s="572"/>
      <c r="AD45" s="572"/>
      <c r="AE45" s="572"/>
      <c r="AF45" s="572"/>
      <c r="AG45" s="572"/>
      <c r="AH45" s="572"/>
      <c r="AI45" s="572"/>
      <c r="AJ45" s="572"/>
      <c r="AK45" s="572"/>
      <c r="AL45" s="572"/>
      <c r="AM45" s="572"/>
      <c r="AN45" s="572"/>
      <c r="AO45" s="572"/>
    </row>
    <row r="46" spans="1:41" ht="15.75">
      <c r="A46" s="534"/>
      <c r="B46" s="533"/>
      <c r="E46" s="603"/>
      <c r="F46" s="603"/>
      <c r="G46" s="603"/>
      <c r="H46" s="603"/>
      <c r="I46" s="603"/>
      <c r="J46" s="603"/>
      <c r="K46" s="603"/>
      <c r="L46" s="533"/>
      <c r="M46" s="603"/>
      <c r="N46" s="603"/>
      <c r="O46" s="603"/>
      <c r="P46" s="603"/>
      <c r="Q46" s="603"/>
      <c r="R46" s="533"/>
      <c r="S46" s="533"/>
      <c r="T46" s="533"/>
      <c r="U46" s="533"/>
      <c r="V46" s="533"/>
      <c r="W46" s="572"/>
      <c r="X46" s="572"/>
      <c r="Y46" s="572"/>
      <c r="Z46" s="572"/>
      <c r="AA46" s="572"/>
      <c r="AB46" s="572"/>
      <c r="AC46" s="572"/>
      <c r="AD46" s="572"/>
      <c r="AE46" s="572"/>
      <c r="AF46" s="572"/>
      <c r="AG46" s="572"/>
      <c r="AH46" s="572"/>
      <c r="AI46" s="572"/>
      <c r="AJ46" s="572"/>
      <c r="AK46" s="572"/>
      <c r="AL46" s="572"/>
      <c r="AM46" s="572"/>
      <c r="AN46" s="572"/>
      <c r="AO46" s="572"/>
    </row>
    <row r="47" spans="1:41" ht="15.75">
      <c r="A47" s="534"/>
      <c r="B47" s="533"/>
      <c r="E47" s="603"/>
      <c r="F47" s="603"/>
      <c r="G47" s="603"/>
      <c r="H47" s="603"/>
      <c r="I47" s="603"/>
      <c r="J47" s="603"/>
      <c r="K47" s="603"/>
      <c r="L47" s="533"/>
      <c r="M47" s="603"/>
      <c r="N47" s="603"/>
      <c r="O47" s="603"/>
      <c r="P47" s="603"/>
      <c r="Q47" s="603"/>
      <c r="R47" s="533"/>
      <c r="S47" s="533"/>
      <c r="T47" s="533"/>
      <c r="U47" s="533"/>
      <c r="V47" s="533"/>
      <c r="W47" s="572"/>
      <c r="X47" s="572"/>
      <c r="Y47" s="572"/>
      <c r="Z47" s="572"/>
      <c r="AA47" s="572"/>
      <c r="AB47" s="572"/>
      <c r="AC47" s="572"/>
      <c r="AD47" s="572"/>
      <c r="AE47" s="572"/>
      <c r="AF47" s="572"/>
      <c r="AG47" s="572"/>
      <c r="AH47" s="572"/>
      <c r="AI47" s="572"/>
      <c r="AJ47" s="572"/>
      <c r="AK47" s="572"/>
      <c r="AL47" s="572"/>
      <c r="AM47" s="572"/>
      <c r="AN47" s="572"/>
      <c r="AO47" s="572"/>
    </row>
    <row r="48" spans="1:41" ht="15.75">
      <c r="A48" s="534"/>
      <c r="B48" s="533"/>
      <c r="E48" s="603"/>
      <c r="F48" s="603"/>
      <c r="G48" s="603"/>
      <c r="H48" s="603"/>
      <c r="I48" s="603"/>
      <c r="J48" s="603"/>
      <c r="K48" s="603"/>
      <c r="L48" s="533"/>
      <c r="M48" s="603"/>
      <c r="N48" s="603"/>
      <c r="O48" s="603"/>
      <c r="P48" s="603"/>
      <c r="Q48" s="603"/>
      <c r="R48" s="533"/>
      <c r="S48" s="533"/>
      <c r="T48" s="533"/>
      <c r="U48" s="533"/>
      <c r="V48" s="533"/>
      <c r="W48" s="572"/>
      <c r="X48" s="572"/>
      <c r="Y48" s="572"/>
      <c r="Z48" s="572"/>
      <c r="AA48" s="572"/>
      <c r="AB48" s="572"/>
      <c r="AC48" s="572"/>
      <c r="AD48" s="572"/>
      <c r="AE48" s="572"/>
      <c r="AF48" s="572"/>
      <c r="AG48" s="572"/>
      <c r="AH48" s="572"/>
      <c r="AI48" s="572"/>
      <c r="AJ48" s="572"/>
      <c r="AK48" s="572"/>
      <c r="AL48" s="572"/>
      <c r="AM48" s="572"/>
      <c r="AN48" s="572"/>
      <c r="AO48" s="572"/>
    </row>
    <row r="49" spans="1:41" ht="15.75">
      <c r="I49" s="603"/>
      <c r="J49" s="603"/>
      <c r="K49" s="603"/>
      <c r="L49" s="533"/>
      <c r="M49" s="603"/>
      <c r="N49" s="603"/>
      <c r="O49" s="603"/>
      <c r="P49" s="603"/>
      <c r="Q49" s="603"/>
      <c r="R49" s="533"/>
      <c r="S49" s="533"/>
      <c r="T49" s="533"/>
      <c r="U49" s="533"/>
      <c r="V49" s="533"/>
      <c r="W49" s="572"/>
      <c r="X49" s="572"/>
      <c r="Y49" s="572"/>
      <c r="Z49" s="572"/>
      <c r="AA49" s="572"/>
      <c r="AB49" s="572"/>
      <c r="AC49" s="572"/>
      <c r="AD49" s="572"/>
      <c r="AE49" s="572"/>
      <c r="AF49" s="572"/>
      <c r="AG49" s="572"/>
      <c r="AH49" s="572"/>
      <c r="AI49" s="572"/>
      <c r="AJ49" s="572"/>
      <c r="AK49" s="572"/>
      <c r="AL49" s="572"/>
      <c r="AM49" s="572"/>
      <c r="AN49" s="572"/>
      <c r="AO49" s="572"/>
    </row>
    <row r="50" spans="1:41" ht="15.75">
      <c r="A50" s="534"/>
      <c r="B50" s="533"/>
      <c r="E50" s="603"/>
      <c r="F50" s="603"/>
      <c r="G50" s="603"/>
      <c r="H50" s="603"/>
      <c r="I50" s="603"/>
      <c r="J50" s="603"/>
      <c r="K50" s="603"/>
      <c r="L50" s="533"/>
      <c r="M50" s="603"/>
      <c r="N50" s="603"/>
      <c r="O50" s="603"/>
      <c r="P50" s="603"/>
      <c r="Q50" s="603"/>
      <c r="R50" s="533"/>
      <c r="S50" s="533"/>
      <c r="T50" s="533"/>
      <c r="U50" s="533"/>
      <c r="V50" s="533"/>
      <c r="W50" s="572"/>
      <c r="X50" s="572"/>
      <c r="Y50" s="572"/>
      <c r="Z50" s="572"/>
      <c r="AA50" s="572"/>
      <c r="AB50" s="572"/>
      <c r="AC50" s="572"/>
      <c r="AD50" s="572"/>
      <c r="AE50" s="572"/>
      <c r="AF50" s="572"/>
      <c r="AG50" s="572"/>
      <c r="AH50" s="572"/>
      <c r="AI50" s="572"/>
      <c r="AJ50" s="572"/>
      <c r="AK50" s="572"/>
      <c r="AL50" s="572"/>
      <c r="AM50" s="572"/>
      <c r="AN50" s="572"/>
      <c r="AO50" s="572"/>
    </row>
    <row r="51" spans="1:41" ht="15.75">
      <c r="A51" s="534"/>
      <c r="B51" s="533"/>
      <c r="E51" s="603"/>
      <c r="F51" s="603"/>
      <c r="G51" s="603"/>
      <c r="H51" s="603"/>
      <c r="I51" s="603"/>
      <c r="J51" s="603"/>
      <c r="K51" s="603"/>
      <c r="L51" s="533"/>
      <c r="M51" s="603"/>
      <c r="N51" s="603"/>
      <c r="O51" s="603"/>
      <c r="P51" s="603"/>
      <c r="Q51" s="603"/>
      <c r="R51" s="533"/>
      <c r="S51" s="533"/>
      <c r="T51" s="533"/>
      <c r="U51" s="533"/>
      <c r="V51" s="533"/>
      <c r="W51" s="572"/>
      <c r="X51" s="572"/>
      <c r="Y51" s="572"/>
      <c r="Z51" s="572"/>
      <c r="AA51" s="572"/>
      <c r="AB51" s="572"/>
      <c r="AC51" s="572"/>
      <c r="AD51" s="572"/>
      <c r="AE51" s="572"/>
      <c r="AF51" s="572"/>
      <c r="AG51" s="572"/>
      <c r="AH51" s="572"/>
      <c r="AI51" s="572"/>
      <c r="AJ51" s="572"/>
      <c r="AK51" s="572"/>
      <c r="AL51" s="572"/>
      <c r="AM51" s="572"/>
      <c r="AN51" s="572"/>
      <c r="AO51" s="572"/>
    </row>
    <row r="52" spans="1:41" ht="15.75">
      <c r="A52" s="534"/>
      <c r="B52" s="533"/>
      <c r="E52" s="603"/>
      <c r="F52" s="603"/>
      <c r="G52" s="603"/>
      <c r="H52" s="603"/>
      <c r="I52" s="603"/>
      <c r="J52" s="603"/>
      <c r="K52" s="603"/>
      <c r="L52" s="533"/>
      <c r="M52" s="603"/>
      <c r="N52" s="603"/>
      <c r="O52" s="603"/>
      <c r="P52" s="603"/>
      <c r="Q52" s="603"/>
      <c r="R52" s="533"/>
      <c r="S52" s="533"/>
      <c r="T52" s="533"/>
      <c r="U52" s="533"/>
      <c r="V52" s="533"/>
      <c r="W52" s="572"/>
      <c r="X52" s="572"/>
      <c r="Y52" s="572"/>
      <c r="Z52" s="572"/>
      <c r="AA52" s="572"/>
      <c r="AB52" s="572"/>
      <c r="AC52" s="572"/>
      <c r="AD52" s="572"/>
      <c r="AE52" s="572"/>
      <c r="AF52" s="572"/>
      <c r="AG52" s="572"/>
      <c r="AH52" s="572"/>
      <c r="AI52" s="572"/>
      <c r="AJ52" s="572"/>
      <c r="AK52" s="572"/>
      <c r="AL52" s="572"/>
      <c r="AM52" s="572"/>
      <c r="AN52" s="572"/>
      <c r="AO52" s="572"/>
    </row>
    <row r="53" spans="1:41" ht="15.75">
      <c r="A53" s="534"/>
      <c r="B53" s="533"/>
      <c r="E53" s="603"/>
      <c r="F53" s="603"/>
      <c r="G53" s="603"/>
      <c r="H53" s="603"/>
      <c r="I53" s="603"/>
      <c r="J53" s="603"/>
      <c r="K53" s="603"/>
      <c r="L53" s="533"/>
      <c r="M53" s="603"/>
      <c r="N53" s="603"/>
      <c r="O53" s="603"/>
      <c r="P53" s="603"/>
      <c r="Q53" s="603"/>
      <c r="R53" s="533"/>
      <c r="S53" s="533"/>
      <c r="T53" s="533"/>
      <c r="U53" s="533"/>
      <c r="V53" s="533"/>
      <c r="W53" s="572"/>
      <c r="X53" s="572"/>
      <c r="Y53" s="572"/>
      <c r="Z53" s="572"/>
      <c r="AA53" s="572"/>
      <c r="AB53" s="572"/>
      <c r="AC53" s="572"/>
      <c r="AD53" s="572"/>
      <c r="AE53" s="572"/>
      <c r="AF53" s="572"/>
      <c r="AG53" s="572"/>
      <c r="AH53" s="572"/>
      <c r="AI53" s="572"/>
      <c r="AJ53" s="572"/>
      <c r="AK53" s="572"/>
      <c r="AL53" s="572"/>
      <c r="AM53" s="572"/>
      <c r="AN53" s="572"/>
      <c r="AO53" s="572"/>
    </row>
    <row r="54" spans="1:41" ht="15.75">
      <c r="A54" s="534"/>
      <c r="B54" s="533"/>
      <c r="E54" s="603"/>
      <c r="F54" s="603"/>
      <c r="G54" s="603"/>
      <c r="H54" s="603"/>
      <c r="I54" s="603"/>
      <c r="J54" s="603"/>
      <c r="K54" s="603"/>
      <c r="L54" s="533"/>
      <c r="M54" s="603"/>
      <c r="N54" s="603"/>
      <c r="O54" s="603"/>
      <c r="P54" s="603"/>
      <c r="Q54" s="603"/>
      <c r="R54" s="533"/>
      <c r="S54" s="533"/>
      <c r="T54" s="533"/>
      <c r="U54" s="533"/>
      <c r="V54" s="533"/>
      <c r="W54" s="572"/>
      <c r="X54" s="572"/>
      <c r="Y54" s="572"/>
      <c r="Z54" s="572"/>
      <c r="AA54" s="572"/>
      <c r="AB54" s="572"/>
      <c r="AC54" s="572"/>
      <c r="AD54" s="572"/>
      <c r="AE54" s="572"/>
      <c r="AF54" s="572"/>
      <c r="AG54" s="572"/>
      <c r="AH54" s="572"/>
      <c r="AI54" s="572"/>
      <c r="AJ54" s="572"/>
      <c r="AK54" s="572"/>
      <c r="AL54" s="572"/>
      <c r="AM54" s="572"/>
      <c r="AN54" s="572"/>
      <c r="AO54" s="572"/>
    </row>
    <row r="55" spans="1:41" ht="15.75">
      <c r="A55" s="534"/>
      <c r="B55" s="533"/>
      <c r="E55" s="603"/>
      <c r="F55" s="603"/>
      <c r="G55" s="603"/>
      <c r="H55" s="603"/>
      <c r="I55" s="603"/>
      <c r="J55" s="603"/>
      <c r="K55" s="603"/>
      <c r="L55" s="533"/>
      <c r="M55" s="603"/>
      <c r="N55" s="603"/>
      <c r="O55" s="603"/>
      <c r="P55" s="603"/>
      <c r="Q55" s="603"/>
      <c r="R55" s="533"/>
      <c r="S55" s="533"/>
      <c r="T55" s="533"/>
      <c r="U55" s="533"/>
      <c r="V55" s="533"/>
      <c r="W55" s="572"/>
      <c r="X55" s="572"/>
      <c r="Y55" s="572"/>
      <c r="Z55" s="572"/>
      <c r="AA55" s="572"/>
      <c r="AB55" s="572"/>
      <c r="AC55" s="572"/>
      <c r="AD55" s="572"/>
      <c r="AE55" s="572"/>
      <c r="AF55" s="572"/>
      <c r="AG55" s="572"/>
      <c r="AH55" s="572"/>
      <c r="AI55" s="572"/>
      <c r="AJ55" s="572"/>
      <c r="AK55" s="572"/>
      <c r="AL55" s="572"/>
      <c r="AM55" s="572"/>
      <c r="AN55" s="572"/>
      <c r="AO55" s="572"/>
    </row>
    <row r="56" spans="1:41" ht="15.75">
      <c r="A56" s="534"/>
      <c r="B56" s="533"/>
      <c r="E56" s="603"/>
      <c r="F56" s="603"/>
      <c r="G56" s="603"/>
      <c r="H56" s="603"/>
      <c r="I56" s="603"/>
      <c r="J56" s="603"/>
      <c r="K56" s="603"/>
      <c r="L56" s="533"/>
      <c r="M56" s="603"/>
      <c r="N56" s="603"/>
      <c r="O56" s="603"/>
      <c r="P56" s="603"/>
      <c r="Q56" s="603"/>
      <c r="R56" s="533"/>
      <c r="S56" s="533"/>
      <c r="T56" s="533"/>
      <c r="U56" s="533"/>
      <c r="V56" s="533"/>
      <c r="W56" s="572"/>
      <c r="X56" s="572"/>
      <c r="Y56" s="572"/>
      <c r="Z56" s="572"/>
      <c r="AA56" s="572"/>
      <c r="AB56" s="572"/>
      <c r="AC56" s="572"/>
      <c r="AD56" s="572"/>
      <c r="AE56" s="572"/>
      <c r="AF56" s="572"/>
      <c r="AG56" s="572"/>
      <c r="AH56" s="572"/>
      <c r="AI56" s="572"/>
      <c r="AJ56" s="572"/>
      <c r="AK56" s="572"/>
      <c r="AL56" s="572"/>
      <c r="AM56" s="572"/>
      <c r="AN56" s="572"/>
      <c r="AO56" s="572"/>
    </row>
    <row r="57" spans="1:41" ht="15.75">
      <c r="A57" s="534"/>
      <c r="B57" s="533"/>
      <c r="E57" s="603"/>
      <c r="F57" s="603"/>
      <c r="G57" s="603"/>
      <c r="H57" s="603"/>
      <c r="I57" s="603"/>
      <c r="J57" s="603"/>
      <c r="K57" s="603"/>
      <c r="L57" s="533"/>
      <c r="M57" s="603"/>
      <c r="N57" s="603"/>
      <c r="O57" s="603"/>
      <c r="P57" s="603"/>
      <c r="Q57" s="603"/>
      <c r="R57" s="533"/>
      <c r="S57" s="533"/>
      <c r="T57" s="533"/>
      <c r="U57" s="533"/>
      <c r="V57" s="533"/>
      <c r="W57" s="572"/>
      <c r="X57" s="572"/>
      <c r="Y57" s="572"/>
      <c r="Z57" s="572"/>
      <c r="AA57" s="572"/>
      <c r="AB57" s="572"/>
      <c r="AC57" s="572"/>
      <c r="AD57" s="572"/>
      <c r="AE57" s="572"/>
      <c r="AF57" s="572"/>
      <c r="AG57" s="572"/>
      <c r="AH57" s="572"/>
      <c r="AI57" s="572"/>
      <c r="AJ57" s="572"/>
      <c r="AK57" s="572"/>
      <c r="AL57" s="572"/>
      <c r="AM57" s="572"/>
      <c r="AN57" s="572"/>
      <c r="AO57" s="572"/>
    </row>
    <row r="58" spans="1:41" ht="15.75">
      <c r="A58" s="534"/>
      <c r="B58" s="533"/>
      <c r="E58" s="603"/>
      <c r="F58" s="603"/>
      <c r="G58" s="603"/>
      <c r="H58" s="603"/>
      <c r="I58" s="603"/>
      <c r="J58" s="603"/>
      <c r="K58" s="603"/>
      <c r="L58" s="533"/>
      <c r="M58" s="603"/>
      <c r="N58" s="603"/>
      <c r="O58" s="603"/>
      <c r="P58" s="603"/>
      <c r="Q58" s="603"/>
      <c r="R58" s="533"/>
      <c r="S58" s="533"/>
      <c r="T58" s="533"/>
      <c r="U58" s="533"/>
      <c r="V58" s="533"/>
      <c r="W58" s="572"/>
      <c r="X58" s="572"/>
      <c r="Y58" s="572"/>
      <c r="Z58" s="572"/>
      <c r="AA58" s="572"/>
      <c r="AB58" s="572"/>
      <c r="AC58" s="572"/>
      <c r="AD58" s="572"/>
      <c r="AE58" s="572"/>
      <c r="AF58" s="572"/>
      <c r="AG58" s="572"/>
      <c r="AH58" s="572"/>
      <c r="AI58" s="572"/>
      <c r="AJ58" s="572"/>
      <c r="AK58" s="572"/>
      <c r="AL58" s="572"/>
      <c r="AM58" s="572"/>
      <c r="AN58" s="572"/>
      <c r="AO58" s="572"/>
    </row>
    <row r="59" spans="1:41" ht="15.75">
      <c r="A59" s="534"/>
      <c r="B59" s="533"/>
      <c r="E59" s="603"/>
      <c r="F59" s="603"/>
      <c r="G59" s="603"/>
      <c r="H59" s="603"/>
      <c r="I59" s="603"/>
      <c r="J59" s="603"/>
      <c r="K59" s="603"/>
      <c r="L59" s="533"/>
      <c r="M59" s="603"/>
      <c r="N59" s="603"/>
      <c r="O59" s="603"/>
      <c r="P59" s="603"/>
      <c r="Q59" s="603"/>
      <c r="R59" s="533"/>
      <c r="S59" s="533"/>
      <c r="T59" s="533"/>
      <c r="U59" s="533"/>
      <c r="V59" s="533"/>
      <c r="W59" s="572"/>
      <c r="X59" s="572"/>
      <c r="Y59" s="572"/>
      <c r="Z59" s="572"/>
      <c r="AA59" s="572"/>
      <c r="AB59" s="572"/>
      <c r="AC59" s="572"/>
      <c r="AD59" s="572"/>
      <c r="AE59" s="572"/>
      <c r="AF59" s="572"/>
      <c r="AG59" s="572"/>
      <c r="AH59" s="572"/>
      <c r="AI59" s="572"/>
      <c r="AJ59" s="572"/>
      <c r="AK59" s="572"/>
      <c r="AL59" s="572"/>
      <c r="AM59" s="572"/>
      <c r="AN59" s="572"/>
      <c r="AO59" s="572"/>
    </row>
    <row r="60" spans="1:41" ht="15.75">
      <c r="A60" s="534"/>
      <c r="B60" s="533"/>
      <c r="E60" s="603"/>
      <c r="F60" s="603"/>
      <c r="G60" s="603"/>
      <c r="H60" s="603"/>
      <c r="I60" s="603"/>
      <c r="J60" s="603"/>
      <c r="K60" s="603"/>
      <c r="L60" s="533"/>
      <c r="M60" s="603"/>
      <c r="N60" s="603"/>
      <c r="O60" s="603"/>
      <c r="P60" s="603"/>
      <c r="Q60" s="603"/>
      <c r="R60" s="533"/>
      <c r="S60" s="533"/>
      <c r="T60" s="533"/>
      <c r="U60" s="533"/>
      <c r="V60" s="533"/>
      <c r="W60" s="572"/>
      <c r="X60" s="572"/>
      <c r="Y60" s="572"/>
      <c r="Z60" s="572"/>
      <c r="AA60" s="572"/>
      <c r="AB60" s="572"/>
      <c r="AC60" s="572"/>
      <c r="AD60" s="572"/>
      <c r="AE60" s="572"/>
      <c r="AF60" s="572"/>
      <c r="AG60" s="572"/>
      <c r="AH60" s="572"/>
      <c r="AI60" s="572"/>
      <c r="AJ60" s="572"/>
      <c r="AK60" s="572"/>
      <c r="AL60" s="572"/>
      <c r="AM60" s="572"/>
      <c r="AN60" s="572"/>
      <c r="AO60" s="572"/>
    </row>
    <row r="61" spans="1:41" ht="15.75">
      <c r="A61" s="534"/>
      <c r="B61" s="533"/>
      <c r="E61" s="603"/>
      <c r="F61" s="603"/>
      <c r="G61" s="603"/>
      <c r="H61" s="603"/>
      <c r="I61" s="603"/>
      <c r="J61" s="603"/>
      <c r="K61" s="603"/>
      <c r="L61" s="533"/>
      <c r="M61" s="603"/>
      <c r="N61" s="603"/>
      <c r="O61" s="603"/>
      <c r="P61" s="603"/>
      <c r="Q61" s="603"/>
      <c r="R61" s="533"/>
      <c r="S61" s="533"/>
      <c r="T61" s="533"/>
      <c r="U61" s="533"/>
      <c r="V61" s="533"/>
      <c r="W61" s="572"/>
      <c r="X61" s="572"/>
      <c r="Y61" s="572"/>
      <c r="Z61" s="572"/>
      <c r="AA61" s="572"/>
      <c r="AB61" s="572"/>
      <c r="AC61" s="572"/>
      <c r="AD61" s="572"/>
      <c r="AE61" s="572"/>
      <c r="AF61" s="572"/>
      <c r="AG61" s="572"/>
      <c r="AH61" s="572"/>
      <c r="AI61" s="572"/>
      <c r="AJ61" s="572"/>
      <c r="AK61" s="572"/>
      <c r="AL61" s="572"/>
      <c r="AM61" s="572"/>
      <c r="AN61" s="572"/>
      <c r="AO61" s="572"/>
    </row>
    <row r="62" spans="1:41" ht="15.75">
      <c r="A62" s="534"/>
      <c r="B62" s="533"/>
      <c r="E62" s="603"/>
      <c r="F62" s="603"/>
      <c r="G62" s="603"/>
      <c r="H62" s="603"/>
      <c r="I62" s="603"/>
      <c r="J62" s="603"/>
      <c r="K62" s="603"/>
      <c r="L62" s="533"/>
      <c r="M62" s="603"/>
      <c r="N62" s="603"/>
      <c r="O62" s="603"/>
      <c r="P62" s="603"/>
      <c r="Q62" s="603"/>
      <c r="R62" s="533"/>
      <c r="S62" s="533"/>
      <c r="T62" s="533"/>
      <c r="U62" s="533"/>
      <c r="V62" s="533"/>
      <c r="W62" s="572"/>
      <c r="X62" s="572"/>
      <c r="Y62" s="572"/>
      <c r="Z62" s="572"/>
      <c r="AA62" s="572"/>
      <c r="AB62" s="572"/>
      <c r="AC62" s="572"/>
      <c r="AD62" s="572"/>
      <c r="AE62" s="572"/>
      <c r="AF62" s="572"/>
      <c r="AG62" s="572"/>
      <c r="AH62" s="572"/>
      <c r="AI62" s="572"/>
      <c r="AJ62" s="572"/>
      <c r="AK62" s="572"/>
      <c r="AL62" s="572"/>
      <c r="AM62" s="572"/>
      <c r="AN62" s="572"/>
      <c r="AO62" s="572"/>
    </row>
    <row r="63" spans="1:41" ht="15.75">
      <c r="A63" s="534"/>
      <c r="B63" s="533"/>
      <c r="E63" s="603"/>
      <c r="F63" s="603"/>
      <c r="G63" s="603"/>
      <c r="H63" s="603"/>
      <c r="I63" s="603"/>
      <c r="J63" s="603"/>
      <c r="K63" s="603"/>
      <c r="L63" s="533"/>
      <c r="M63" s="603"/>
      <c r="N63" s="603"/>
      <c r="O63" s="603"/>
      <c r="P63" s="603"/>
      <c r="Q63" s="603"/>
      <c r="R63" s="533"/>
      <c r="S63" s="533"/>
      <c r="T63" s="533"/>
      <c r="U63" s="533"/>
      <c r="V63" s="533"/>
      <c r="W63" s="572"/>
      <c r="X63" s="572"/>
      <c r="Y63" s="572"/>
      <c r="Z63" s="572"/>
      <c r="AA63" s="572"/>
      <c r="AB63" s="572"/>
      <c r="AC63" s="572"/>
      <c r="AD63" s="572"/>
      <c r="AE63" s="572"/>
      <c r="AF63" s="572"/>
      <c r="AG63" s="572"/>
      <c r="AH63" s="572"/>
      <c r="AI63" s="572"/>
      <c r="AJ63" s="572"/>
      <c r="AK63" s="572"/>
      <c r="AL63" s="572"/>
      <c r="AM63" s="572"/>
      <c r="AN63" s="572"/>
      <c r="AO63" s="572"/>
    </row>
    <row r="64" spans="1:41" ht="15.75">
      <c r="A64" s="534"/>
      <c r="B64" s="533"/>
      <c r="E64" s="603"/>
      <c r="F64" s="603"/>
      <c r="G64" s="603"/>
      <c r="H64" s="603"/>
      <c r="I64" s="603"/>
      <c r="J64" s="603"/>
      <c r="K64" s="603"/>
      <c r="L64" s="533"/>
      <c r="M64" s="603"/>
      <c r="N64" s="603"/>
      <c r="O64" s="603"/>
      <c r="P64" s="603"/>
      <c r="Q64" s="603"/>
      <c r="R64" s="533"/>
      <c r="S64" s="533"/>
      <c r="T64" s="533"/>
      <c r="U64" s="533"/>
      <c r="V64" s="533"/>
      <c r="W64" s="572"/>
      <c r="X64" s="572"/>
      <c r="Y64" s="572"/>
      <c r="Z64" s="572"/>
      <c r="AA64" s="572"/>
      <c r="AB64" s="572"/>
      <c r="AC64" s="572"/>
      <c r="AD64" s="572"/>
      <c r="AE64" s="572"/>
      <c r="AF64" s="572"/>
      <c r="AG64" s="572"/>
      <c r="AH64" s="572"/>
      <c r="AI64" s="572"/>
      <c r="AJ64" s="572"/>
      <c r="AK64" s="572"/>
      <c r="AL64" s="572"/>
      <c r="AM64" s="572"/>
      <c r="AN64" s="572"/>
      <c r="AO64" s="572"/>
    </row>
    <row r="65" spans="1:41" ht="15.75">
      <c r="A65" s="534"/>
      <c r="B65" s="533"/>
      <c r="E65" s="603"/>
      <c r="F65" s="603"/>
      <c r="G65" s="603"/>
      <c r="H65" s="603"/>
      <c r="I65" s="603"/>
      <c r="J65" s="603"/>
      <c r="K65" s="603"/>
      <c r="L65" s="533"/>
      <c r="M65" s="603"/>
      <c r="N65" s="603"/>
      <c r="O65" s="603"/>
      <c r="P65" s="603"/>
      <c r="Q65" s="603"/>
      <c r="R65" s="533"/>
      <c r="S65" s="533"/>
      <c r="T65" s="533"/>
      <c r="U65" s="533"/>
      <c r="V65" s="533"/>
      <c r="W65" s="572"/>
      <c r="X65" s="572"/>
      <c r="Y65" s="572"/>
      <c r="Z65" s="572"/>
      <c r="AA65" s="572"/>
      <c r="AB65" s="572"/>
      <c r="AC65" s="572"/>
      <c r="AD65" s="572"/>
      <c r="AE65" s="572"/>
      <c r="AF65" s="572"/>
      <c r="AG65" s="572"/>
      <c r="AH65" s="572"/>
      <c r="AI65" s="572"/>
      <c r="AJ65" s="572"/>
      <c r="AK65" s="572"/>
      <c r="AL65" s="572"/>
      <c r="AM65" s="572"/>
      <c r="AN65" s="572"/>
      <c r="AO65" s="572"/>
    </row>
    <row r="66" spans="1:41" ht="15.75">
      <c r="A66" s="534"/>
      <c r="B66" s="533"/>
      <c r="E66" s="603"/>
      <c r="F66" s="603"/>
      <c r="G66" s="603"/>
      <c r="H66" s="603"/>
      <c r="I66" s="603"/>
      <c r="J66" s="603"/>
      <c r="K66" s="603"/>
      <c r="L66" s="533"/>
      <c r="M66" s="603"/>
      <c r="N66" s="603"/>
      <c r="O66" s="603"/>
      <c r="P66" s="603"/>
      <c r="Q66" s="603"/>
      <c r="R66" s="533"/>
      <c r="S66" s="533"/>
      <c r="T66" s="533"/>
      <c r="U66" s="533"/>
      <c r="V66" s="533"/>
      <c r="W66" s="572"/>
      <c r="X66" s="572"/>
      <c r="Y66" s="572"/>
      <c r="Z66" s="572"/>
      <c r="AA66" s="572"/>
      <c r="AB66" s="572"/>
      <c r="AC66" s="572"/>
      <c r="AD66" s="572"/>
      <c r="AE66" s="572"/>
      <c r="AF66" s="572"/>
      <c r="AG66" s="572"/>
      <c r="AH66" s="572"/>
      <c r="AI66" s="572"/>
      <c r="AJ66" s="572"/>
      <c r="AK66" s="572"/>
      <c r="AL66" s="572"/>
      <c r="AM66" s="572"/>
      <c r="AN66" s="572"/>
      <c r="AO66" s="572"/>
    </row>
    <row r="67" spans="1:41" ht="15.75">
      <c r="A67" s="534"/>
      <c r="B67" s="533"/>
      <c r="E67" s="603"/>
      <c r="F67" s="603"/>
      <c r="G67" s="603"/>
      <c r="H67" s="603"/>
      <c r="I67" s="603"/>
      <c r="J67" s="603"/>
      <c r="K67" s="603"/>
      <c r="L67" s="533"/>
      <c r="M67" s="603"/>
      <c r="N67" s="603"/>
      <c r="O67" s="603"/>
      <c r="P67" s="603"/>
      <c r="Q67" s="603"/>
      <c r="R67" s="533"/>
      <c r="S67" s="533"/>
      <c r="T67" s="533"/>
      <c r="U67" s="533"/>
      <c r="V67" s="533"/>
      <c r="W67" s="572"/>
      <c r="X67" s="572"/>
      <c r="Y67" s="572"/>
      <c r="Z67" s="572"/>
      <c r="AA67" s="572"/>
      <c r="AB67" s="572"/>
      <c r="AC67" s="572"/>
      <c r="AD67" s="572"/>
      <c r="AE67" s="572"/>
      <c r="AF67" s="572"/>
      <c r="AG67" s="572"/>
      <c r="AH67" s="572"/>
      <c r="AI67" s="572"/>
      <c r="AJ67" s="572"/>
      <c r="AK67" s="572"/>
      <c r="AL67" s="572"/>
      <c r="AM67" s="572"/>
      <c r="AN67" s="572"/>
      <c r="AO67" s="572"/>
    </row>
    <row r="68" spans="1:41" ht="15.75">
      <c r="A68" s="534"/>
      <c r="B68" s="533"/>
      <c r="E68" s="603"/>
      <c r="F68" s="603"/>
      <c r="G68" s="603"/>
      <c r="H68" s="603"/>
      <c r="I68" s="603"/>
      <c r="J68" s="603"/>
      <c r="K68" s="603"/>
      <c r="L68" s="533"/>
      <c r="M68" s="603"/>
      <c r="N68" s="603"/>
      <c r="O68" s="603"/>
      <c r="P68" s="603"/>
      <c r="Q68" s="603"/>
      <c r="R68" s="533"/>
      <c r="S68" s="533"/>
      <c r="T68" s="533"/>
      <c r="U68" s="533"/>
      <c r="V68" s="533"/>
      <c r="W68" s="572"/>
      <c r="X68" s="572"/>
      <c r="Y68" s="572"/>
      <c r="Z68" s="572"/>
      <c r="AA68" s="572"/>
      <c r="AB68" s="572"/>
      <c r="AC68" s="572"/>
      <c r="AD68" s="572"/>
      <c r="AE68" s="572"/>
      <c r="AF68" s="572"/>
      <c r="AG68" s="572"/>
      <c r="AH68" s="572"/>
      <c r="AI68" s="572"/>
      <c r="AJ68" s="572"/>
      <c r="AK68" s="572"/>
      <c r="AL68" s="572"/>
      <c r="AM68" s="572"/>
      <c r="AN68" s="572"/>
      <c r="AO68" s="572"/>
    </row>
    <row r="69" spans="1:41" ht="15.75">
      <c r="A69" s="534"/>
      <c r="B69" s="533"/>
      <c r="E69" s="603"/>
      <c r="F69" s="603"/>
      <c r="G69" s="603"/>
      <c r="H69" s="603"/>
      <c r="I69" s="603"/>
      <c r="J69" s="603"/>
      <c r="K69" s="603"/>
      <c r="L69" s="533"/>
      <c r="M69" s="603"/>
      <c r="N69" s="603"/>
      <c r="O69" s="603"/>
      <c r="P69" s="603"/>
      <c r="Q69" s="603"/>
      <c r="R69" s="533"/>
      <c r="S69" s="533"/>
      <c r="T69" s="533"/>
      <c r="U69" s="533"/>
      <c r="V69" s="533"/>
      <c r="W69" s="572"/>
      <c r="X69" s="572"/>
      <c r="Y69" s="572"/>
      <c r="Z69" s="572"/>
      <c r="AA69" s="572"/>
      <c r="AB69" s="572"/>
      <c r="AC69" s="572"/>
      <c r="AD69" s="572"/>
      <c r="AE69" s="572"/>
      <c r="AF69" s="572"/>
      <c r="AG69" s="572"/>
      <c r="AH69" s="572"/>
      <c r="AI69" s="572"/>
      <c r="AJ69" s="572"/>
      <c r="AK69" s="572"/>
      <c r="AL69" s="572"/>
      <c r="AM69" s="572"/>
      <c r="AN69" s="572"/>
      <c r="AO69" s="572"/>
    </row>
    <row r="70" spans="1:41" ht="15.75">
      <c r="A70" s="534"/>
      <c r="B70" s="533"/>
      <c r="E70" s="603"/>
      <c r="F70" s="603"/>
      <c r="G70" s="603"/>
      <c r="H70" s="603"/>
      <c r="I70" s="603"/>
      <c r="J70" s="603"/>
      <c r="K70" s="603"/>
      <c r="L70" s="533"/>
      <c r="M70" s="603"/>
      <c r="N70" s="603"/>
      <c r="O70" s="603"/>
      <c r="P70" s="603"/>
      <c r="Q70" s="603"/>
      <c r="R70" s="533"/>
      <c r="S70" s="533"/>
      <c r="T70" s="533"/>
      <c r="U70" s="533"/>
      <c r="V70" s="533"/>
      <c r="W70" s="572"/>
      <c r="X70" s="572"/>
      <c r="Y70" s="572"/>
      <c r="Z70" s="572"/>
      <c r="AA70" s="572"/>
      <c r="AB70" s="572"/>
      <c r="AC70" s="572"/>
      <c r="AD70" s="572"/>
      <c r="AE70" s="572"/>
      <c r="AF70" s="572"/>
      <c r="AG70" s="572"/>
      <c r="AH70" s="572"/>
      <c r="AI70" s="572"/>
      <c r="AJ70" s="572"/>
      <c r="AK70" s="572"/>
      <c r="AL70" s="572"/>
      <c r="AM70" s="572"/>
      <c r="AN70" s="572"/>
      <c r="AO70" s="572"/>
    </row>
    <row r="71" spans="1:41" ht="15.75">
      <c r="A71" s="534"/>
      <c r="B71" s="533"/>
      <c r="E71" s="603"/>
      <c r="F71" s="603"/>
      <c r="G71" s="603"/>
      <c r="H71" s="603"/>
      <c r="I71" s="603"/>
      <c r="J71" s="603"/>
      <c r="K71" s="603"/>
      <c r="L71" s="533"/>
      <c r="M71" s="603"/>
      <c r="N71" s="603"/>
      <c r="O71" s="603"/>
      <c r="P71" s="603"/>
      <c r="Q71" s="603"/>
      <c r="R71" s="533"/>
      <c r="S71" s="533"/>
      <c r="T71" s="533"/>
      <c r="U71" s="533"/>
      <c r="V71" s="533"/>
      <c r="W71" s="572"/>
      <c r="X71" s="572"/>
      <c r="Y71" s="572"/>
      <c r="Z71" s="572"/>
      <c r="AA71" s="572"/>
      <c r="AB71" s="572"/>
      <c r="AC71" s="572"/>
      <c r="AD71" s="572"/>
      <c r="AE71" s="572"/>
      <c r="AF71" s="572"/>
      <c r="AG71" s="572"/>
      <c r="AH71" s="572"/>
      <c r="AI71" s="572"/>
      <c r="AJ71" s="572"/>
      <c r="AK71" s="572"/>
      <c r="AL71" s="572"/>
      <c r="AM71" s="572"/>
      <c r="AN71" s="572"/>
      <c r="AO71" s="572"/>
    </row>
    <row r="72" spans="1:41" ht="15.75">
      <c r="A72" s="534"/>
      <c r="B72" s="533"/>
      <c r="E72" s="603"/>
      <c r="F72" s="603"/>
      <c r="G72" s="603"/>
      <c r="H72" s="603"/>
      <c r="I72" s="603"/>
      <c r="J72" s="603"/>
      <c r="K72" s="603"/>
      <c r="L72" s="533"/>
      <c r="M72" s="603"/>
      <c r="N72" s="603"/>
      <c r="O72" s="603"/>
      <c r="P72" s="603"/>
      <c r="Q72" s="603"/>
      <c r="R72" s="533"/>
      <c r="S72" s="533"/>
      <c r="T72" s="533"/>
      <c r="U72" s="533"/>
      <c r="V72" s="533"/>
      <c r="W72" s="572"/>
      <c r="X72" s="572"/>
      <c r="Y72" s="572"/>
      <c r="Z72" s="572"/>
      <c r="AA72" s="572"/>
      <c r="AB72" s="572"/>
      <c r="AC72" s="572"/>
      <c r="AD72" s="572"/>
      <c r="AE72" s="572"/>
      <c r="AF72" s="572"/>
      <c r="AG72" s="572"/>
      <c r="AH72" s="572"/>
      <c r="AI72" s="572"/>
      <c r="AJ72" s="572"/>
      <c r="AK72" s="572"/>
      <c r="AL72" s="572"/>
      <c r="AM72" s="572"/>
      <c r="AN72" s="572"/>
      <c r="AO72" s="572"/>
    </row>
    <row r="73" spans="1:41" ht="15.75">
      <c r="A73" s="534"/>
      <c r="B73" s="533"/>
      <c r="E73" s="603"/>
      <c r="F73" s="603"/>
      <c r="G73" s="603"/>
      <c r="H73" s="603"/>
      <c r="I73" s="603"/>
      <c r="J73" s="603"/>
      <c r="K73" s="603"/>
      <c r="L73" s="533"/>
      <c r="M73" s="603"/>
      <c r="N73" s="603"/>
      <c r="O73" s="603"/>
      <c r="P73" s="603"/>
      <c r="Q73" s="603"/>
      <c r="R73" s="533"/>
      <c r="S73" s="533"/>
      <c r="T73" s="533"/>
      <c r="U73" s="533"/>
      <c r="V73" s="533"/>
      <c r="W73" s="572"/>
      <c r="X73" s="572"/>
      <c r="Y73" s="572"/>
      <c r="Z73" s="572"/>
      <c r="AA73" s="572"/>
      <c r="AB73" s="572"/>
      <c r="AC73" s="572"/>
      <c r="AD73" s="572"/>
      <c r="AE73" s="572"/>
      <c r="AF73" s="572"/>
      <c r="AG73" s="572"/>
      <c r="AH73" s="572"/>
      <c r="AI73" s="572"/>
      <c r="AJ73" s="572"/>
      <c r="AK73" s="572"/>
      <c r="AL73" s="572"/>
      <c r="AM73" s="572"/>
      <c r="AN73" s="572"/>
      <c r="AO73" s="572"/>
    </row>
    <row r="74" spans="1:41" ht="15.75">
      <c r="A74" s="534"/>
      <c r="B74" s="533"/>
      <c r="E74" s="603"/>
      <c r="F74" s="603"/>
      <c r="G74" s="603"/>
      <c r="H74" s="603"/>
      <c r="I74" s="603"/>
      <c r="J74" s="603"/>
      <c r="K74" s="603"/>
      <c r="L74" s="533"/>
      <c r="M74" s="603"/>
      <c r="N74" s="603"/>
      <c r="O74" s="603"/>
      <c r="P74" s="603"/>
      <c r="Q74" s="603"/>
      <c r="R74" s="533"/>
      <c r="S74" s="533"/>
      <c r="T74" s="533"/>
      <c r="U74" s="533"/>
      <c r="V74" s="533"/>
      <c r="W74" s="572"/>
      <c r="X74" s="572"/>
      <c r="Y74" s="572"/>
      <c r="Z74" s="572"/>
      <c r="AA74" s="572"/>
      <c r="AB74" s="572"/>
      <c r="AC74" s="572"/>
      <c r="AD74" s="572"/>
      <c r="AE74" s="572"/>
      <c r="AF74" s="572"/>
      <c r="AG74" s="572"/>
      <c r="AH74" s="572"/>
      <c r="AI74" s="572"/>
      <c r="AJ74" s="572"/>
      <c r="AK74" s="572"/>
      <c r="AL74" s="572"/>
      <c r="AM74" s="572"/>
      <c r="AN74" s="572"/>
      <c r="AO74" s="572"/>
    </row>
    <row r="75" spans="1:41" ht="15.75">
      <c r="A75" s="534"/>
      <c r="B75" s="533"/>
      <c r="E75" s="603"/>
      <c r="F75" s="603"/>
      <c r="G75" s="603"/>
      <c r="H75" s="603"/>
      <c r="I75" s="603"/>
      <c r="J75" s="603"/>
      <c r="K75" s="603"/>
      <c r="L75" s="533"/>
      <c r="M75" s="603"/>
      <c r="N75" s="603"/>
      <c r="O75" s="603"/>
      <c r="P75" s="603"/>
      <c r="Q75" s="603"/>
      <c r="R75" s="533"/>
      <c r="S75" s="533"/>
      <c r="T75" s="533"/>
      <c r="U75" s="533"/>
      <c r="V75" s="533"/>
      <c r="W75" s="572"/>
      <c r="X75" s="572"/>
      <c r="Y75" s="572"/>
      <c r="Z75" s="572"/>
      <c r="AA75" s="572"/>
      <c r="AB75" s="572"/>
      <c r="AC75" s="572"/>
      <c r="AD75" s="572"/>
      <c r="AE75" s="572"/>
      <c r="AF75" s="572"/>
      <c r="AG75" s="572"/>
      <c r="AH75" s="572"/>
      <c r="AI75" s="572"/>
      <c r="AJ75" s="572"/>
      <c r="AK75" s="572"/>
      <c r="AL75" s="572"/>
      <c r="AM75" s="572"/>
      <c r="AN75" s="572"/>
      <c r="AO75" s="572"/>
    </row>
    <row r="76" spans="1:41" ht="15.75">
      <c r="A76" s="534"/>
      <c r="B76" s="533"/>
      <c r="E76" s="603"/>
      <c r="F76" s="603"/>
      <c r="G76" s="603"/>
      <c r="H76" s="603"/>
      <c r="I76" s="603"/>
      <c r="J76" s="603"/>
      <c r="K76" s="603"/>
      <c r="L76" s="533"/>
      <c r="M76" s="603"/>
      <c r="N76" s="603"/>
      <c r="O76" s="603"/>
      <c r="P76" s="603"/>
      <c r="Q76" s="603"/>
      <c r="R76" s="533"/>
      <c r="S76" s="533"/>
      <c r="T76" s="533"/>
      <c r="U76" s="533"/>
      <c r="V76" s="533"/>
      <c r="W76" s="572"/>
      <c r="X76" s="572"/>
      <c r="Y76" s="572"/>
      <c r="Z76" s="572"/>
      <c r="AA76" s="572"/>
      <c r="AB76" s="572"/>
      <c r="AC76" s="572"/>
      <c r="AD76" s="572"/>
      <c r="AE76" s="572"/>
      <c r="AF76" s="572"/>
      <c r="AG76" s="572"/>
      <c r="AH76" s="572"/>
      <c r="AI76" s="572"/>
      <c r="AJ76" s="572"/>
      <c r="AK76" s="572"/>
      <c r="AL76" s="572"/>
      <c r="AM76" s="572"/>
      <c r="AN76" s="572"/>
      <c r="AO76" s="572"/>
    </row>
    <row r="77" spans="1:41" ht="15.75">
      <c r="A77" s="534"/>
      <c r="B77" s="533"/>
      <c r="E77" s="603"/>
      <c r="F77" s="603"/>
      <c r="G77" s="603"/>
      <c r="H77" s="603"/>
      <c r="I77" s="603"/>
      <c r="J77" s="603"/>
      <c r="K77" s="603"/>
      <c r="L77" s="533"/>
      <c r="M77" s="603"/>
      <c r="N77" s="603"/>
      <c r="O77" s="603"/>
      <c r="P77" s="603"/>
      <c r="Q77" s="603"/>
      <c r="R77" s="533"/>
      <c r="S77" s="533"/>
      <c r="T77" s="533"/>
      <c r="U77" s="533"/>
      <c r="V77" s="533"/>
      <c r="W77" s="572"/>
      <c r="X77" s="572"/>
      <c r="Y77" s="572"/>
      <c r="Z77" s="572"/>
      <c r="AA77" s="572"/>
      <c r="AB77" s="572"/>
      <c r="AC77" s="572"/>
      <c r="AD77" s="572"/>
      <c r="AE77" s="572"/>
      <c r="AF77" s="572"/>
      <c r="AG77" s="572"/>
      <c r="AH77" s="572"/>
      <c r="AI77" s="572"/>
      <c r="AJ77" s="572"/>
      <c r="AK77" s="572"/>
      <c r="AL77" s="572"/>
      <c r="AM77" s="572"/>
      <c r="AN77" s="572"/>
      <c r="AO77" s="572"/>
    </row>
    <row r="78" spans="1:41" ht="15.75">
      <c r="A78" s="534"/>
      <c r="B78" s="533"/>
      <c r="E78" s="603"/>
      <c r="F78" s="603"/>
      <c r="G78" s="603"/>
      <c r="H78" s="603"/>
      <c r="I78" s="603"/>
      <c r="J78" s="603"/>
      <c r="K78" s="603"/>
      <c r="L78" s="533"/>
      <c r="M78" s="603"/>
      <c r="N78" s="603"/>
      <c r="O78" s="603"/>
      <c r="P78" s="603"/>
      <c r="Q78" s="603"/>
      <c r="R78" s="533"/>
      <c r="S78" s="533"/>
      <c r="T78" s="533"/>
      <c r="U78" s="533"/>
      <c r="V78" s="533"/>
      <c r="W78" s="572"/>
      <c r="X78" s="572"/>
      <c r="Y78" s="572"/>
      <c r="Z78" s="572"/>
      <c r="AA78" s="572"/>
      <c r="AB78" s="572"/>
      <c r="AC78" s="572"/>
      <c r="AD78" s="572"/>
      <c r="AE78" s="572"/>
      <c r="AF78" s="572"/>
      <c r="AG78" s="572"/>
      <c r="AH78" s="572"/>
      <c r="AI78" s="572"/>
      <c r="AJ78" s="572"/>
      <c r="AK78" s="572"/>
      <c r="AL78" s="572"/>
      <c r="AM78" s="572"/>
      <c r="AN78" s="572"/>
      <c r="AO78" s="572"/>
    </row>
    <row r="79" spans="1:41" ht="15.75">
      <c r="A79" s="534"/>
      <c r="B79" s="533"/>
      <c r="E79" s="603"/>
      <c r="F79" s="603"/>
      <c r="G79" s="603"/>
      <c r="H79" s="603"/>
      <c r="I79" s="603"/>
      <c r="J79" s="603"/>
      <c r="K79" s="603"/>
      <c r="L79" s="533"/>
      <c r="M79" s="603"/>
      <c r="N79" s="603"/>
      <c r="O79" s="603"/>
      <c r="P79" s="603"/>
      <c r="Q79" s="603"/>
      <c r="R79" s="533"/>
      <c r="S79" s="533"/>
      <c r="T79" s="533"/>
      <c r="U79" s="533"/>
      <c r="V79" s="533"/>
      <c r="W79" s="572"/>
      <c r="X79" s="572"/>
      <c r="Y79" s="572"/>
      <c r="Z79" s="572"/>
      <c r="AA79" s="572"/>
      <c r="AB79" s="572"/>
      <c r="AC79" s="572"/>
      <c r="AD79" s="572"/>
      <c r="AE79" s="572"/>
      <c r="AF79" s="572"/>
      <c r="AG79" s="572"/>
      <c r="AH79" s="572"/>
      <c r="AI79" s="572"/>
      <c r="AJ79" s="572"/>
      <c r="AK79" s="572"/>
      <c r="AL79" s="572"/>
      <c r="AM79" s="572"/>
      <c r="AN79" s="572"/>
      <c r="AO79" s="572"/>
    </row>
    <row r="80" spans="1:41" ht="15.75">
      <c r="A80" s="534"/>
      <c r="B80" s="533"/>
      <c r="E80" s="603"/>
      <c r="F80" s="603"/>
      <c r="G80" s="603"/>
      <c r="H80" s="603"/>
      <c r="I80" s="603"/>
      <c r="J80" s="603"/>
      <c r="K80" s="603"/>
      <c r="L80" s="533"/>
      <c r="M80" s="603"/>
      <c r="N80" s="603"/>
      <c r="O80" s="603"/>
      <c r="P80" s="603"/>
      <c r="Q80" s="603"/>
      <c r="R80" s="533"/>
      <c r="S80" s="533"/>
      <c r="T80" s="533"/>
      <c r="U80" s="533"/>
      <c r="V80" s="533"/>
      <c r="W80" s="572"/>
      <c r="X80" s="572"/>
      <c r="Y80" s="572"/>
      <c r="Z80" s="572"/>
      <c r="AA80" s="572"/>
      <c r="AB80" s="572"/>
      <c r="AC80" s="572"/>
      <c r="AD80" s="572"/>
      <c r="AE80" s="572"/>
      <c r="AF80" s="572"/>
      <c r="AG80" s="572"/>
      <c r="AH80" s="572"/>
      <c r="AI80" s="572"/>
      <c r="AJ80" s="572"/>
      <c r="AK80" s="572"/>
      <c r="AL80" s="572"/>
      <c r="AM80" s="572"/>
      <c r="AN80" s="572"/>
      <c r="AO80" s="572"/>
    </row>
    <row r="81" spans="1:41" ht="15.75">
      <c r="A81" s="534"/>
      <c r="B81" s="533"/>
      <c r="E81" s="603"/>
      <c r="F81" s="603"/>
      <c r="G81" s="603"/>
      <c r="H81" s="603"/>
      <c r="I81" s="603"/>
      <c r="J81" s="603"/>
      <c r="K81" s="603"/>
      <c r="L81" s="533"/>
      <c r="M81" s="603"/>
      <c r="N81" s="603"/>
      <c r="O81" s="603"/>
      <c r="P81" s="603"/>
      <c r="Q81" s="603"/>
      <c r="R81" s="533"/>
      <c r="S81" s="533"/>
      <c r="T81" s="533"/>
      <c r="U81" s="533"/>
      <c r="V81" s="533"/>
      <c r="W81" s="572"/>
      <c r="X81" s="572"/>
      <c r="Y81" s="572"/>
      <c r="Z81" s="572"/>
      <c r="AA81" s="572"/>
      <c r="AB81" s="572"/>
      <c r="AC81" s="572"/>
      <c r="AD81" s="572"/>
      <c r="AE81" s="572"/>
      <c r="AF81" s="572"/>
      <c r="AG81" s="572"/>
      <c r="AH81" s="572"/>
      <c r="AI81" s="572"/>
      <c r="AJ81" s="572"/>
      <c r="AK81" s="572"/>
      <c r="AL81" s="572"/>
      <c r="AM81" s="572"/>
      <c r="AN81" s="572"/>
      <c r="AO81" s="572"/>
    </row>
    <row r="82" spans="1:41" ht="15.75">
      <c r="A82" s="534"/>
      <c r="B82" s="533"/>
      <c r="E82" s="603"/>
      <c r="F82" s="603"/>
      <c r="G82" s="603"/>
      <c r="H82" s="603"/>
      <c r="I82" s="603"/>
      <c r="J82" s="603"/>
      <c r="K82" s="603"/>
      <c r="L82" s="533"/>
      <c r="M82" s="603"/>
      <c r="N82" s="603"/>
      <c r="O82" s="603"/>
      <c r="P82" s="603"/>
      <c r="Q82" s="603"/>
      <c r="R82" s="533"/>
      <c r="S82" s="533"/>
      <c r="T82" s="533"/>
      <c r="U82" s="533"/>
      <c r="V82" s="533"/>
      <c r="W82" s="572"/>
      <c r="X82" s="572"/>
      <c r="Y82" s="572"/>
      <c r="Z82" s="572"/>
      <c r="AA82" s="572"/>
      <c r="AB82" s="572"/>
      <c r="AC82" s="572"/>
      <c r="AD82" s="572"/>
      <c r="AE82" s="572"/>
      <c r="AF82" s="572"/>
      <c r="AG82" s="572"/>
      <c r="AH82" s="572"/>
      <c r="AI82" s="572"/>
      <c r="AJ82" s="572"/>
      <c r="AK82" s="572"/>
      <c r="AL82" s="572"/>
      <c r="AM82" s="572"/>
      <c r="AN82" s="572"/>
      <c r="AO82" s="572"/>
    </row>
    <row r="83" spans="1:41" ht="15.75">
      <c r="A83" s="534"/>
      <c r="B83" s="533"/>
      <c r="E83" s="603"/>
      <c r="F83" s="603"/>
      <c r="G83" s="603"/>
      <c r="H83" s="603"/>
      <c r="I83" s="603"/>
      <c r="J83" s="603"/>
      <c r="K83" s="603"/>
      <c r="L83" s="533"/>
      <c r="M83" s="603"/>
      <c r="N83" s="603"/>
      <c r="O83" s="603"/>
      <c r="P83" s="603"/>
      <c r="Q83" s="603"/>
      <c r="R83" s="533"/>
      <c r="S83" s="533"/>
      <c r="T83" s="533"/>
      <c r="U83" s="533"/>
      <c r="V83" s="533"/>
      <c r="W83" s="572"/>
      <c r="X83" s="572"/>
      <c r="Y83" s="572"/>
      <c r="Z83" s="572"/>
      <c r="AA83" s="572"/>
      <c r="AB83" s="572"/>
      <c r="AC83" s="572"/>
      <c r="AD83" s="572"/>
      <c r="AE83" s="572"/>
      <c r="AF83" s="572"/>
      <c r="AG83" s="572"/>
      <c r="AH83" s="572"/>
      <c r="AI83" s="572"/>
      <c r="AJ83" s="572"/>
      <c r="AK83" s="572"/>
      <c r="AL83" s="572"/>
      <c r="AM83" s="572"/>
      <c r="AN83" s="572"/>
      <c r="AO83" s="572"/>
    </row>
    <row r="84" spans="1:41" ht="15.75">
      <c r="A84" s="534"/>
      <c r="B84" s="533"/>
      <c r="E84" s="603"/>
      <c r="F84" s="603"/>
      <c r="G84" s="603"/>
      <c r="H84" s="603"/>
      <c r="I84" s="603"/>
      <c r="J84" s="603"/>
      <c r="K84" s="603"/>
      <c r="L84" s="533"/>
      <c r="M84" s="603"/>
      <c r="N84" s="603"/>
      <c r="O84" s="603"/>
      <c r="P84" s="603"/>
      <c r="Q84" s="603"/>
      <c r="R84" s="533"/>
      <c r="S84" s="533"/>
      <c r="T84" s="533"/>
      <c r="U84" s="533"/>
      <c r="V84" s="533"/>
      <c r="W84" s="572"/>
      <c r="X84" s="572"/>
      <c r="Y84" s="572"/>
      <c r="Z84" s="572"/>
      <c r="AA84" s="572"/>
      <c r="AB84" s="572"/>
      <c r="AC84" s="572"/>
      <c r="AD84" s="572"/>
      <c r="AE84" s="572"/>
      <c r="AF84" s="572"/>
      <c r="AG84" s="572"/>
      <c r="AH84" s="572"/>
      <c r="AI84" s="572"/>
      <c r="AJ84" s="572"/>
      <c r="AK84" s="572"/>
      <c r="AL84" s="572"/>
      <c r="AM84" s="572"/>
      <c r="AN84" s="572"/>
      <c r="AO84" s="572"/>
    </row>
    <row r="85" spans="1:41" ht="15.75">
      <c r="A85" s="534"/>
      <c r="B85" s="533"/>
      <c r="E85" s="603"/>
      <c r="F85" s="603"/>
      <c r="G85" s="603"/>
      <c r="H85" s="603"/>
      <c r="I85" s="603"/>
      <c r="J85" s="603"/>
      <c r="K85" s="603"/>
      <c r="L85" s="533"/>
      <c r="M85" s="603"/>
      <c r="N85" s="603"/>
      <c r="O85" s="603"/>
      <c r="P85" s="603"/>
      <c r="Q85" s="603"/>
      <c r="R85" s="533"/>
      <c r="S85" s="533"/>
      <c r="T85" s="533"/>
      <c r="U85" s="533"/>
      <c r="V85" s="533"/>
      <c r="W85" s="572"/>
      <c r="X85" s="572"/>
      <c r="Y85" s="572"/>
      <c r="Z85" s="572"/>
      <c r="AA85" s="572"/>
      <c r="AB85" s="572"/>
      <c r="AC85" s="572"/>
      <c r="AD85" s="572"/>
      <c r="AE85" s="572"/>
      <c r="AF85" s="572"/>
      <c r="AG85" s="572"/>
      <c r="AH85" s="572"/>
      <c r="AI85" s="572"/>
      <c r="AJ85" s="572"/>
      <c r="AK85" s="572"/>
      <c r="AL85" s="572"/>
      <c r="AM85" s="572"/>
      <c r="AN85" s="572"/>
      <c r="AO85" s="572"/>
    </row>
    <row r="86" spans="1:41" ht="15.75">
      <c r="A86" s="534"/>
      <c r="B86" s="533"/>
      <c r="E86" s="603"/>
      <c r="F86" s="603"/>
      <c r="G86" s="603"/>
      <c r="H86" s="603"/>
      <c r="I86" s="603"/>
      <c r="J86" s="603"/>
      <c r="K86" s="603"/>
      <c r="L86" s="533"/>
      <c r="M86" s="603"/>
      <c r="N86" s="603"/>
      <c r="O86" s="603"/>
      <c r="P86" s="603"/>
      <c r="Q86" s="603"/>
      <c r="R86" s="533"/>
      <c r="S86" s="533"/>
      <c r="T86" s="533"/>
      <c r="U86" s="533"/>
      <c r="V86" s="533"/>
      <c r="W86" s="572"/>
      <c r="X86" s="572"/>
      <c r="Y86" s="572"/>
      <c r="Z86" s="572"/>
      <c r="AA86" s="572"/>
      <c r="AB86" s="572"/>
      <c r="AC86" s="572"/>
      <c r="AD86" s="572"/>
      <c r="AE86" s="572"/>
      <c r="AF86" s="572"/>
      <c r="AG86" s="572"/>
      <c r="AH86" s="572"/>
      <c r="AI86" s="572"/>
      <c r="AJ86" s="572"/>
      <c r="AK86" s="572"/>
      <c r="AL86" s="572"/>
      <c r="AM86" s="572"/>
      <c r="AN86" s="572"/>
      <c r="AO86" s="572"/>
    </row>
    <row r="87" spans="1:41" ht="15.75">
      <c r="A87" s="534"/>
      <c r="B87" s="533"/>
      <c r="E87" s="603"/>
      <c r="F87" s="603"/>
      <c r="G87" s="603"/>
      <c r="H87" s="603"/>
      <c r="I87" s="603"/>
      <c r="J87" s="603"/>
      <c r="K87" s="603"/>
      <c r="L87" s="533"/>
      <c r="M87" s="603"/>
      <c r="N87" s="603"/>
      <c r="O87" s="603"/>
      <c r="P87" s="603"/>
      <c r="Q87" s="603"/>
      <c r="R87" s="533"/>
      <c r="S87" s="533"/>
      <c r="T87" s="533"/>
      <c r="U87" s="533"/>
      <c r="V87" s="533"/>
      <c r="W87" s="572"/>
      <c r="X87" s="572"/>
      <c r="Y87" s="572"/>
      <c r="Z87" s="572"/>
      <c r="AA87" s="572"/>
      <c r="AB87" s="572"/>
      <c r="AC87" s="572"/>
      <c r="AD87" s="572"/>
      <c r="AE87" s="572"/>
      <c r="AF87" s="572"/>
      <c r="AG87" s="572"/>
      <c r="AH87" s="572"/>
      <c r="AI87" s="572"/>
      <c r="AJ87" s="572"/>
      <c r="AK87" s="572"/>
      <c r="AL87" s="572"/>
      <c r="AM87" s="572"/>
      <c r="AN87" s="572"/>
      <c r="AO87" s="572"/>
    </row>
    <row r="88" spans="1:41" ht="15.75">
      <c r="A88" s="534"/>
      <c r="B88" s="533"/>
      <c r="E88" s="603"/>
      <c r="F88" s="603"/>
      <c r="G88" s="603"/>
      <c r="H88" s="603"/>
      <c r="I88" s="603"/>
      <c r="J88" s="603"/>
      <c r="K88" s="603"/>
      <c r="L88" s="533"/>
      <c r="M88" s="603"/>
      <c r="N88" s="603"/>
      <c r="O88" s="603"/>
      <c r="P88" s="603"/>
      <c r="Q88" s="603"/>
      <c r="R88" s="533"/>
      <c r="S88" s="533"/>
      <c r="T88" s="533"/>
      <c r="U88" s="533"/>
      <c r="V88" s="533"/>
      <c r="W88" s="572"/>
      <c r="X88" s="572"/>
      <c r="Y88" s="572"/>
      <c r="Z88" s="572"/>
      <c r="AA88" s="572"/>
      <c r="AB88" s="572"/>
      <c r="AC88" s="572"/>
      <c r="AD88" s="572"/>
      <c r="AE88" s="572"/>
      <c r="AF88" s="572"/>
      <c r="AG88" s="572"/>
      <c r="AH88" s="572"/>
      <c r="AI88" s="572"/>
      <c r="AJ88" s="572"/>
      <c r="AK88" s="572"/>
      <c r="AL88" s="572"/>
      <c r="AM88" s="572"/>
      <c r="AN88" s="572"/>
      <c r="AO88" s="572"/>
    </row>
    <row r="89" spans="1:41" ht="15.75">
      <c r="A89" s="534"/>
      <c r="B89" s="533"/>
      <c r="E89" s="603"/>
      <c r="F89" s="603"/>
      <c r="G89" s="603"/>
      <c r="H89" s="603"/>
      <c r="I89" s="603"/>
      <c r="J89" s="603"/>
      <c r="K89" s="603"/>
      <c r="L89" s="533"/>
      <c r="M89" s="603"/>
      <c r="N89" s="603"/>
      <c r="O89" s="603"/>
      <c r="P89" s="603"/>
      <c r="Q89" s="603"/>
      <c r="R89" s="533"/>
      <c r="S89" s="533"/>
      <c r="T89" s="533"/>
      <c r="U89" s="533"/>
      <c r="V89" s="533"/>
      <c r="W89" s="572"/>
      <c r="X89" s="572"/>
      <c r="Y89" s="572"/>
      <c r="Z89" s="572"/>
      <c r="AA89" s="572"/>
      <c r="AB89" s="572"/>
      <c r="AC89" s="572"/>
      <c r="AD89" s="572"/>
      <c r="AE89" s="572"/>
      <c r="AF89" s="572"/>
      <c r="AG89" s="572"/>
      <c r="AH89" s="572"/>
      <c r="AI89" s="572"/>
      <c r="AJ89" s="572"/>
      <c r="AK89" s="572"/>
      <c r="AL89" s="572"/>
      <c r="AM89" s="572"/>
      <c r="AN89" s="572"/>
      <c r="AO89" s="572"/>
    </row>
    <row r="90" spans="1:41" ht="15.75">
      <c r="A90" s="534"/>
      <c r="B90" s="533"/>
      <c r="E90" s="603"/>
      <c r="F90" s="603"/>
      <c r="G90" s="603"/>
      <c r="H90" s="603"/>
      <c r="I90" s="603"/>
      <c r="J90" s="603"/>
      <c r="K90" s="603"/>
      <c r="L90" s="533"/>
      <c r="M90" s="603"/>
      <c r="N90" s="603"/>
      <c r="O90" s="603"/>
      <c r="P90" s="603"/>
      <c r="Q90" s="603"/>
      <c r="R90" s="533"/>
      <c r="S90" s="533"/>
      <c r="T90" s="533"/>
      <c r="U90" s="533"/>
      <c r="V90" s="533"/>
      <c r="W90" s="572"/>
      <c r="X90" s="572"/>
      <c r="Y90" s="572"/>
      <c r="Z90" s="572"/>
      <c r="AA90" s="572"/>
      <c r="AB90" s="572"/>
      <c r="AC90" s="572"/>
      <c r="AD90" s="572"/>
      <c r="AE90" s="572"/>
      <c r="AF90" s="572"/>
      <c r="AG90" s="572"/>
      <c r="AH90" s="572"/>
      <c r="AI90" s="572"/>
      <c r="AJ90" s="572"/>
      <c r="AK90" s="572"/>
      <c r="AL90" s="572"/>
      <c r="AM90" s="572"/>
      <c r="AN90" s="572"/>
      <c r="AO90" s="572"/>
    </row>
    <row r="91" spans="1:41" ht="15.75">
      <c r="A91" s="534"/>
      <c r="B91" s="533"/>
      <c r="E91" s="603"/>
      <c r="F91" s="603"/>
      <c r="G91" s="603"/>
      <c r="H91" s="603"/>
      <c r="I91" s="603"/>
      <c r="J91" s="603"/>
      <c r="K91" s="603"/>
      <c r="L91" s="533"/>
      <c r="M91" s="603"/>
      <c r="N91" s="603"/>
      <c r="O91" s="603"/>
      <c r="P91" s="603"/>
      <c r="Q91" s="603"/>
      <c r="R91" s="533"/>
      <c r="S91" s="533"/>
      <c r="T91" s="533"/>
      <c r="U91" s="533"/>
      <c r="V91" s="533"/>
      <c r="W91" s="572"/>
      <c r="X91" s="572"/>
      <c r="Y91" s="572"/>
      <c r="Z91" s="572"/>
      <c r="AA91" s="572"/>
      <c r="AB91" s="572"/>
      <c r="AC91" s="572"/>
      <c r="AD91" s="572"/>
      <c r="AE91" s="572"/>
      <c r="AF91" s="572"/>
      <c r="AG91" s="572"/>
      <c r="AH91" s="572"/>
      <c r="AI91" s="572"/>
      <c r="AJ91" s="572"/>
      <c r="AK91" s="572"/>
      <c r="AL91" s="572"/>
      <c r="AM91" s="572"/>
      <c r="AN91" s="572"/>
      <c r="AO91" s="572"/>
    </row>
    <row r="92" spans="1:41" ht="15.75">
      <c r="A92" s="534"/>
      <c r="B92" s="533"/>
      <c r="E92" s="603"/>
      <c r="F92" s="603"/>
      <c r="G92" s="603"/>
      <c r="H92" s="603"/>
      <c r="I92" s="603"/>
      <c r="J92" s="603"/>
      <c r="K92" s="603"/>
      <c r="L92" s="533"/>
      <c r="M92" s="603"/>
      <c r="N92" s="603"/>
      <c r="O92" s="603"/>
      <c r="P92" s="603"/>
      <c r="Q92" s="603"/>
      <c r="R92" s="533"/>
      <c r="S92" s="533"/>
      <c r="T92" s="533"/>
      <c r="U92" s="533"/>
      <c r="V92" s="533"/>
      <c r="W92" s="572"/>
      <c r="X92" s="572"/>
      <c r="Y92" s="572"/>
      <c r="Z92" s="572"/>
      <c r="AA92" s="572"/>
      <c r="AB92" s="572"/>
      <c r="AC92" s="572"/>
      <c r="AD92" s="572"/>
      <c r="AE92" s="572"/>
      <c r="AF92" s="572"/>
      <c r="AG92" s="572"/>
      <c r="AH92" s="572"/>
      <c r="AI92" s="572"/>
      <c r="AJ92" s="572"/>
      <c r="AK92" s="572"/>
      <c r="AL92" s="572"/>
      <c r="AM92" s="572"/>
      <c r="AN92" s="572"/>
      <c r="AO92" s="572"/>
    </row>
    <row r="93" spans="1:41" ht="15.75">
      <c r="A93" s="534"/>
      <c r="B93" s="533"/>
      <c r="E93" s="603"/>
      <c r="F93" s="603"/>
      <c r="G93" s="603"/>
      <c r="H93" s="603"/>
      <c r="I93" s="603"/>
      <c r="J93" s="603"/>
      <c r="K93" s="603"/>
      <c r="L93" s="533"/>
      <c r="M93" s="603"/>
      <c r="N93" s="603"/>
      <c r="O93" s="603"/>
      <c r="P93" s="603"/>
      <c r="Q93" s="603"/>
      <c r="R93" s="533"/>
      <c r="S93" s="533"/>
      <c r="T93" s="533"/>
      <c r="U93" s="533"/>
      <c r="V93" s="533"/>
      <c r="W93" s="572"/>
      <c r="X93" s="572"/>
      <c r="Y93" s="572"/>
      <c r="Z93" s="572"/>
      <c r="AA93" s="572"/>
      <c r="AB93" s="572"/>
      <c r="AC93" s="572"/>
      <c r="AD93" s="572"/>
      <c r="AE93" s="572"/>
      <c r="AF93" s="572"/>
      <c r="AG93" s="572"/>
      <c r="AH93" s="572"/>
      <c r="AI93" s="572"/>
      <c r="AJ93" s="572"/>
      <c r="AK93" s="572"/>
      <c r="AL93" s="572"/>
      <c r="AM93" s="572"/>
      <c r="AN93" s="572"/>
      <c r="AO93" s="572"/>
    </row>
    <row r="94" spans="1:41" ht="15.75">
      <c r="A94" s="534"/>
      <c r="B94" s="533"/>
      <c r="E94" s="603"/>
      <c r="F94" s="603"/>
      <c r="G94" s="603"/>
      <c r="H94" s="603"/>
      <c r="I94" s="603"/>
      <c r="J94" s="603"/>
      <c r="K94" s="603"/>
      <c r="L94" s="533"/>
      <c r="M94" s="603"/>
      <c r="N94" s="603"/>
      <c r="O94" s="603"/>
      <c r="P94" s="603"/>
      <c r="Q94" s="603"/>
      <c r="R94" s="533"/>
      <c r="S94" s="533"/>
      <c r="T94" s="533"/>
      <c r="U94" s="533"/>
      <c r="V94" s="533"/>
      <c r="W94" s="572"/>
      <c r="X94" s="572"/>
      <c r="Y94" s="572"/>
      <c r="Z94" s="572"/>
      <c r="AA94" s="572"/>
      <c r="AB94" s="572"/>
      <c r="AC94" s="572"/>
      <c r="AD94" s="572"/>
      <c r="AE94" s="572"/>
      <c r="AF94" s="572"/>
      <c r="AG94" s="572"/>
      <c r="AH94" s="572"/>
      <c r="AI94" s="572"/>
      <c r="AJ94" s="572"/>
      <c r="AK94" s="572"/>
      <c r="AL94" s="572"/>
      <c r="AM94" s="572"/>
      <c r="AN94" s="572"/>
      <c r="AO94" s="572"/>
    </row>
    <row r="95" spans="1:41" ht="15.75">
      <c r="A95" s="534"/>
      <c r="B95" s="533"/>
      <c r="E95" s="603"/>
      <c r="F95" s="603"/>
      <c r="G95" s="603"/>
      <c r="H95" s="603"/>
      <c r="I95" s="603"/>
      <c r="J95" s="603"/>
      <c r="K95" s="603"/>
      <c r="L95" s="533"/>
      <c r="M95" s="603"/>
      <c r="N95" s="603"/>
      <c r="O95" s="603"/>
      <c r="P95" s="603"/>
      <c r="Q95" s="603"/>
      <c r="R95" s="533"/>
      <c r="S95" s="533"/>
      <c r="T95" s="533"/>
      <c r="U95" s="533"/>
      <c r="V95" s="533"/>
      <c r="W95" s="572"/>
      <c r="X95" s="572"/>
      <c r="Y95" s="572"/>
      <c r="Z95" s="572"/>
      <c r="AA95" s="572"/>
      <c r="AB95" s="572"/>
      <c r="AC95" s="572"/>
      <c r="AD95" s="572"/>
      <c r="AE95" s="572"/>
      <c r="AF95" s="572"/>
      <c r="AG95" s="572"/>
      <c r="AH95" s="572"/>
      <c r="AI95" s="572"/>
      <c r="AJ95" s="572"/>
      <c r="AK95" s="572"/>
      <c r="AL95" s="572"/>
      <c r="AM95" s="572"/>
      <c r="AN95" s="572"/>
      <c r="AO95" s="572"/>
    </row>
    <row r="96" spans="1:41" ht="15.75">
      <c r="A96" s="534"/>
      <c r="B96" s="533"/>
      <c r="E96" s="603"/>
      <c r="F96" s="603"/>
      <c r="G96" s="603"/>
      <c r="H96" s="603"/>
      <c r="I96" s="603"/>
      <c r="J96" s="603"/>
      <c r="K96" s="603"/>
      <c r="L96" s="533"/>
      <c r="M96" s="603"/>
      <c r="N96" s="603"/>
      <c r="O96" s="603"/>
      <c r="P96" s="603"/>
      <c r="Q96" s="603"/>
      <c r="R96" s="533"/>
      <c r="S96" s="533"/>
      <c r="T96" s="533"/>
      <c r="U96" s="533"/>
      <c r="V96" s="533"/>
      <c r="W96" s="572"/>
      <c r="X96" s="572"/>
      <c r="Y96" s="572"/>
      <c r="Z96" s="572"/>
      <c r="AA96" s="572"/>
      <c r="AB96" s="572"/>
      <c r="AC96" s="572"/>
      <c r="AD96" s="572"/>
      <c r="AE96" s="572"/>
      <c r="AF96" s="572"/>
      <c r="AG96" s="572"/>
      <c r="AH96" s="572"/>
      <c r="AI96" s="572"/>
      <c r="AJ96" s="572"/>
      <c r="AK96" s="572"/>
      <c r="AL96" s="572"/>
      <c r="AM96" s="572"/>
      <c r="AN96" s="572"/>
      <c r="AO96" s="572"/>
    </row>
    <row r="97" spans="1:41" ht="15.75">
      <c r="A97" s="534"/>
      <c r="B97" s="533"/>
      <c r="E97" s="603"/>
      <c r="F97" s="603"/>
      <c r="G97" s="603"/>
      <c r="H97" s="603"/>
      <c r="I97" s="603"/>
      <c r="J97" s="603"/>
      <c r="K97" s="603"/>
      <c r="L97" s="533"/>
      <c r="M97" s="603"/>
      <c r="N97" s="603"/>
      <c r="O97" s="603"/>
      <c r="P97" s="603"/>
      <c r="Q97" s="603"/>
      <c r="R97" s="533"/>
      <c r="S97" s="533"/>
      <c r="T97" s="533"/>
      <c r="U97" s="533"/>
      <c r="V97" s="533"/>
      <c r="W97" s="572"/>
      <c r="X97" s="572"/>
      <c r="Y97" s="572"/>
      <c r="Z97" s="572"/>
      <c r="AA97" s="572"/>
      <c r="AB97" s="572"/>
      <c r="AC97" s="572"/>
      <c r="AD97" s="572"/>
      <c r="AE97" s="572"/>
      <c r="AF97" s="572"/>
      <c r="AG97" s="572"/>
      <c r="AH97" s="572"/>
      <c r="AI97" s="572"/>
      <c r="AJ97" s="572"/>
      <c r="AK97" s="572"/>
      <c r="AL97" s="572"/>
      <c r="AM97" s="572"/>
      <c r="AN97" s="572"/>
      <c r="AO97" s="572"/>
    </row>
    <row r="98" spans="1:41" ht="15.75">
      <c r="A98" s="534"/>
      <c r="B98" s="533"/>
      <c r="E98" s="603"/>
      <c r="F98" s="603"/>
      <c r="G98" s="603"/>
      <c r="H98" s="603"/>
      <c r="I98" s="603"/>
      <c r="J98" s="603"/>
      <c r="K98" s="603"/>
      <c r="L98" s="533"/>
      <c r="M98" s="603"/>
      <c r="N98" s="603"/>
      <c r="O98" s="603"/>
      <c r="P98" s="603"/>
      <c r="Q98" s="603"/>
      <c r="R98" s="533"/>
      <c r="S98" s="533"/>
      <c r="T98" s="533"/>
      <c r="U98" s="533"/>
      <c r="V98" s="533"/>
      <c r="W98" s="572"/>
      <c r="X98" s="572"/>
      <c r="Y98" s="572"/>
      <c r="Z98" s="572"/>
      <c r="AA98" s="572"/>
      <c r="AB98" s="572"/>
      <c r="AC98" s="572"/>
      <c r="AD98" s="572"/>
      <c r="AE98" s="572"/>
      <c r="AF98" s="572"/>
      <c r="AG98" s="572"/>
      <c r="AH98" s="572"/>
      <c r="AI98" s="572"/>
      <c r="AJ98" s="572"/>
      <c r="AK98" s="572"/>
      <c r="AL98" s="572"/>
      <c r="AM98" s="572"/>
      <c r="AN98" s="572"/>
      <c r="AO98" s="572"/>
    </row>
    <row r="99" spans="1:41" ht="15.75">
      <c r="A99" s="534"/>
      <c r="B99" s="533"/>
      <c r="E99" s="603"/>
      <c r="F99" s="603"/>
      <c r="G99" s="603"/>
      <c r="H99" s="603"/>
      <c r="I99" s="603"/>
      <c r="J99" s="603"/>
      <c r="K99" s="603"/>
      <c r="L99" s="533"/>
      <c r="M99" s="603"/>
      <c r="N99" s="603"/>
      <c r="O99" s="603"/>
      <c r="P99" s="603"/>
      <c r="Q99" s="603"/>
      <c r="R99" s="533"/>
      <c r="S99" s="533"/>
      <c r="T99" s="533"/>
      <c r="U99" s="533"/>
      <c r="V99" s="533"/>
      <c r="W99" s="572"/>
      <c r="X99" s="572"/>
      <c r="Y99" s="572"/>
      <c r="Z99" s="572"/>
      <c r="AA99" s="572"/>
      <c r="AB99" s="572"/>
      <c r="AC99" s="572"/>
      <c r="AD99" s="572"/>
      <c r="AE99" s="572"/>
      <c r="AF99" s="572"/>
      <c r="AG99" s="572"/>
      <c r="AH99" s="572"/>
      <c r="AI99" s="572"/>
      <c r="AJ99" s="572"/>
      <c r="AK99" s="572"/>
      <c r="AL99" s="572"/>
      <c r="AM99" s="572"/>
      <c r="AN99" s="572"/>
      <c r="AO99" s="572"/>
    </row>
    <row r="100" spans="1:41">
      <c r="A100" s="567"/>
      <c r="B100" s="567"/>
      <c r="C100" s="567"/>
      <c r="D100" s="567"/>
      <c r="E100" s="567"/>
      <c r="F100" s="567"/>
      <c r="G100" s="567"/>
      <c r="H100" s="567"/>
      <c r="I100" s="567"/>
      <c r="J100" s="567"/>
      <c r="K100" s="567"/>
      <c r="L100" s="567"/>
      <c r="M100" s="567"/>
      <c r="N100" s="567"/>
      <c r="O100" s="567"/>
      <c r="P100" s="567"/>
      <c r="Q100" s="567"/>
      <c r="R100" s="567"/>
      <c r="S100" s="567"/>
      <c r="T100" s="567"/>
      <c r="U100" s="567"/>
      <c r="V100" s="567"/>
      <c r="W100" s="572"/>
      <c r="X100" s="572"/>
      <c r="Y100" s="572"/>
      <c r="Z100" s="572"/>
      <c r="AA100" s="572"/>
      <c r="AB100" s="572"/>
      <c r="AC100" s="572"/>
      <c r="AD100" s="572"/>
      <c r="AE100" s="572"/>
      <c r="AF100" s="572"/>
      <c r="AG100" s="572"/>
      <c r="AH100" s="572"/>
      <c r="AI100" s="572"/>
      <c r="AJ100" s="572"/>
      <c r="AK100" s="572"/>
      <c r="AL100" s="572"/>
      <c r="AM100" s="572"/>
      <c r="AN100" s="572"/>
      <c r="AO100" s="572"/>
    </row>
    <row r="101" spans="1:41">
      <c r="A101" s="567"/>
      <c r="B101" s="567"/>
      <c r="C101" s="567"/>
      <c r="D101" s="567"/>
      <c r="E101" s="567"/>
      <c r="F101" s="567"/>
      <c r="G101" s="567"/>
      <c r="H101" s="567"/>
      <c r="I101" s="567"/>
      <c r="J101" s="567"/>
      <c r="K101" s="567"/>
      <c r="L101" s="567"/>
      <c r="M101" s="567"/>
      <c r="N101" s="567"/>
      <c r="O101" s="567"/>
      <c r="P101" s="567"/>
      <c r="Q101" s="567"/>
      <c r="R101" s="567"/>
      <c r="S101" s="567"/>
      <c r="T101" s="567"/>
      <c r="U101" s="567"/>
      <c r="V101" s="567"/>
      <c r="W101" s="572"/>
      <c r="X101" s="572"/>
      <c r="Y101" s="572"/>
      <c r="Z101" s="572"/>
      <c r="AA101" s="572"/>
      <c r="AB101" s="572"/>
      <c r="AC101" s="572"/>
      <c r="AD101" s="572"/>
      <c r="AE101" s="572"/>
      <c r="AF101" s="572"/>
      <c r="AG101" s="572"/>
      <c r="AH101" s="572"/>
      <c r="AI101" s="572"/>
      <c r="AJ101" s="572"/>
      <c r="AK101" s="572"/>
      <c r="AL101" s="572"/>
      <c r="AM101" s="572"/>
      <c r="AN101" s="572"/>
      <c r="AO101" s="572"/>
    </row>
    <row r="102" spans="1:41">
      <c r="A102" s="567"/>
      <c r="B102" s="567"/>
      <c r="C102" s="567"/>
      <c r="D102" s="567"/>
      <c r="E102" s="567"/>
      <c r="F102" s="567"/>
      <c r="G102" s="567"/>
      <c r="H102" s="567"/>
      <c r="I102" s="567"/>
      <c r="J102" s="567"/>
      <c r="K102" s="567"/>
      <c r="L102" s="567"/>
      <c r="M102" s="567"/>
      <c r="N102" s="567"/>
      <c r="O102" s="567"/>
      <c r="P102" s="567"/>
      <c r="Q102" s="567"/>
      <c r="R102" s="567"/>
      <c r="S102" s="567"/>
      <c r="T102" s="567"/>
      <c r="U102" s="567"/>
      <c r="V102" s="567"/>
      <c r="W102" s="572"/>
      <c r="X102" s="572"/>
      <c r="Y102" s="572"/>
      <c r="Z102" s="572"/>
      <c r="AA102" s="572"/>
      <c r="AB102" s="572"/>
      <c r="AC102" s="572"/>
      <c r="AD102" s="572"/>
      <c r="AE102" s="572"/>
      <c r="AF102" s="572"/>
      <c r="AG102" s="572"/>
      <c r="AH102" s="572"/>
      <c r="AI102" s="572"/>
      <c r="AJ102" s="572"/>
      <c r="AK102" s="572"/>
      <c r="AL102" s="572"/>
      <c r="AM102" s="572"/>
      <c r="AN102" s="572"/>
      <c r="AO102" s="572"/>
    </row>
    <row r="103" spans="1:41">
      <c r="A103" s="567"/>
      <c r="B103" s="567"/>
      <c r="C103" s="567"/>
      <c r="D103" s="567"/>
      <c r="E103" s="567"/>
      <c r="F103" s="567"/>
      <c r="G103" s="567"/>
      <c r="H103" s="567"/>
      <c r="I103" s="567"/>
      <c r="J103" s="567"/>
      <c r="K103" s="567"/>
      <c r="L103" s="567"/>
      <c r="M103" s="567"/>
      <c r="N103" s="567"/>
      <c r="O103" s="567"/>
      <c r="P103" s="567"/>
      <c r="Q103" s="567"/>
      <c r="R103" s="567"/>
      <c r="S103" s="567"/>
      <c r="T103" s="567"/>
      <c r="U103" s="567"/>
      <c r="V103" s="567"/>
    </row>
    <row r="104" spans="1:41">
      <c r="A104" s="567"/>
      <c r="B104" s="567"/>
      <c r="C104" s="567"/>
      <c r="D104" s="567"/>
      <c r="E104" s="567"/>
      <c r="F104" s="567"/>
      <c r="G104" s="567"/>
      <c r="H104" s="567"/>
      <c r="I104" s="567"/>
      <c r="J104" s="567"/>
      <c r="K104" s="567"/>
      <c r="L104" s="567"/>
      <c r="M104" s="567"/>
      <c r="N104" s="567"/>
      <c r="O104" s="567"/>
      <c r="P104" s="567"/>
      <c r="Q104" s="567"/>
      <c r="R104" s="567"/>
      <c r="S104" s="567"/>
      <c r="T104" s="567"/>
      <c r="U104" s="567"/>
      <c r="V104" s="567"/>
    </row>
    <row r="105" spans="1:41">
      <c r="A105" s="567"/>
      <c r="B105" s="567"/>
      <c r="C105" s="567"/>
      <c r="D105" s="567"/>
      <c r="E105" s="567"/>
      <c r="F105" s="567"/>
      <c r="G105" s="567"/>
      <c r="H105" s="567"/>
      <c r="I105" s="567"/>
      <c r="J105" s="567"/>
      <c r="K105" s="567"/>
      <c r="L105" s="567"/>
      <c r="M105" s="567"/>
      <c r="N105" s="567"/>
      <c r="O105" s="567"/>
      <c r="P105" s="567"/>
      <c r="Q105" s="567"/>
      <c r="R105" s="567"/>
      <c r="S105" s="567"/>
      <c r="T105" s="567"/>
      <c r="U105" s="567"/>
      <c r="V105" s="567"/>
    </row>
    <row r="106" spans="1:41">
      <c r="A106" s="567"/>
      <c r="B106" s="567"/>
      <c r="C106" s="567"/>
      <c r="D106" s="567"/>
      <c r="E106" s="567"/>
      <c r="F106" s="567"/>
      <c r="G106" s="567"/>
      <c r="H106" s="567"/>
      <c r="I106" s="567"/>
      <c r="J106" s="567"/>
      <c r="K106" s="567"/>
      <c r="L106" s="567"/>
      <c r="M106" s="567"/>
      <c r="N106" s="567"/>
      <c r="O106" s="567"/>
      <c r="P106" s="567"/>
      <c r="Q106" s="567"/>
      <c r="R106" s="567"/>
      <c r="S106" s="567"/>
      <c r="T106" s="567"/>
      <c r="U106" s="567"/>
      <c r="V106" s="567"/>
    </row>
    <row r="107" spans="1:41" ht="12.75" customHeight="1">
      <c r="A107" s="567"/>
      <c r="B107" s="567"/>
      <c r="C107" s="567"/>
      <c r="D107" s="567"/>
      <c r="E107" s="567"/>
      <c r="F107" s="567"/>
      <c r="G107" s="567"/>
      <c r="H107" s="567"/>
      <c r="I107" s="567"/>
      <c r="J107" s="567"/>
      <c r="K107" s="567"/>
      <c r="L107" s="567"/>
      <c r="M107" s="567"/>
      <c r="N107" s="567"/>
      <c r="O107" s="567"/>
      <c r="P107" s="567"/>
      <c r="Q107" s="567"/>
      <c r="R107" s="567"/>
      <c r="S107" s="567"/>
      <c r="T107" s="567"/>
      <c r="U107" s="567"/>
      <c r="V107" s="567"/>
    </row>
    <row r="108" spans="1:41" ht="12.75" customHeight="1">
      <c r="A108" s="567"/>
      <c r="B108" s="567"/>
      <c r="C108" s="567"/>
      <c r="D108" s="567"/>
      <c r="E108" s="567"/>
      <c r="F108" s="567"/>
      <c r="G108" s="567"/>
      <c r="H108" s="567"/>
      <c r="I108" s="567"/>
      <c r="J108" s="567"/>
      <c r="K108" s="567"/>
      <c r="L108" s="567"/>
      <c r="M108" s="567"/>
      <c r="N108" s="567"/>
      <c r="O108" s="567"/>
      <c r="P108" s="567"/>
      <c r="Q108" s="567"/>
      <c r="R108" s="567"/>
      <c r="S108" s="567"/>
      <c r="T108" s="567"/>
      <c r="U108" s="567"/>
      <c r="V108" s="567"/>
    </row>
    <row r="109" spans="1:41" ht="12.75" customHeight="1">
      <c r="A109" s="567"/>
      <c r="B109" s="567"/>
      <c r="C109" s="567"/>
      <c r="D109" s="567"/>
      <c r="E109" s="567"/>
      <c r="F109" s="567"/>
      <c r="G109" s="567"/>
      <c r="H109" s="567"/>
      <c r="I109" s="567"/>
      <c r="J109" s="567"/>
      <c r="K109" s="567"/>
      <c r="L109" s="567"/>
      <c r="M109" s="567"/>
      <c r="N109" s="567"/>
      <c r="O109" s="567"/>
      <c r="P109" s="567"/>
      <c r="Q109" s="567"/>
      <c r="R109" s="567"/>
      <c r="S109" s="567"/>
      <c r="T109" s="567"/>
      <c r="U109" s="567"/>
      <c r="V109" s="567"/>
    </row>
    <row r="110" spans="1:41" ht="12.75" customHeight="1">
      <c r="A110" s="567"/>
      <c r="B110" s="567"/>
      <c r="C110" s="567"/>
      <c r="D110" s="567"/>
      <c r="E110" s="567"/>
      <c r="F110" s="567"/>
      <c r="G110" s="567"/>
      <c r="H110" s="567"/>
      <c r="I110" s="567"/>
      <c r="J110" s="567"/>
      <c r="K110" s="567"/>
      <c r="L110" s="567"/>
      <c r="M110" s="567"/>
      <c r="N110" s="567"/>
      <c r="O110" s="567"/>
      <c r="P110" s="567"/>
      <c r="Q110" s="567"/>
      <c r="R110" s="567"/>
      <c r="S110" s="567"/>
      <c r="T110" s="567"/>
      <c r="U110" s="567"/>
      <c r="V110" s="567"/>
    </row>
    <row r="111" spans="1:41" ht="12.75" customHeight="1">
      <c r="A111" s="567"/>
      <c r="B111" s="567"/>
      <c r="C111" s="567"/>
      <c r="D111" s="567"/>
      <c r="E111" s="567"/>
      <c r="F111" s="567"/>
      <c r="G111" s="567"/>
      <c r="H111" s="567"/>
      <c r="I111" s="567"/>
      <c r="J111" s="567"/>
      <c r="K111" s="567"/>
      <c r="L111" s="567"/>
      <c r="M111" s="567"/>
      <c r="N111" s="567"/>
      <c r="O111" s="567"/>
      <c r="P111" s="567"/>
      <c r="Q111" s="567"/>
      <c r="R111" s="567"/>
      <c r="S111" s="567"/>
      <c r="T111" s="567"/>
      <c r="U111" s="567"/>
      <c r="V111" s="567"/>
    </row>
    <row r="112" spans="1:41" ht="12.75" customHeight="1">
      <c r="A112" s="567"/>
      <c r="B112" s="567"/>
      <c r="C112" s="567"/>
      <c r="D112" s="567"/>
      <c r="E112" s="567"/>
      <c r="F112" s="567"/>
      <c r="G112" s="567"/>
      <c r="H112" s="567"/>
      <c r="I112" s="567"/>
      <c r="J112" s="567"/>
      <c r="K112" s="567"/>
      <c r="L112" s="567"/>
      <c r="M112" s="567"/>
      <c r="N112" s="567"/>
      <c r="O112" s="567"/>
      <c r="P112" s="567"/>
      <c r="Q112" s="567"/>
      <c r="R112" s="567"/>
      <c r="S112" s="567"/>
      <c r="T112" s="567"/>
      <c r="U112" s="567"/>
      <c r="V112" s="567"/>
    </row>
    <row r="113" spans="1:22" ht="12.75" customHeight="1">
      <c r="A113" s="567"/>
      <c r="B113" s="567"/>
      <c r="C113" s="567"/>
      <c r="D113" s="567"/>
      <c r="E113" s="567"/>
      <c r="F113" s="567"/>
      <c r="G113" s="567"/>
      <c r="H113" s="567"/>
      <c r="I113" s="567"/>
      <c r="J113" s="567"/>
      <c r="K113" s="567"/>
      <c r="L113" s="567"/>
      <c r="M113" s="567"/>
      <c r="N113" s="567"/>
      <c r="O113" s="567"/>
      <c r="P113" s="567"/>
      <c r="Q113" s="567"/>
      <c r="R113" s="567"/>
      <c r="S113" s="567"/>
      <c r="T113" s="567"/>
      <c r="U113" s="567"/>
      <c r="V113" s="567"/>
    </row>
    <row r="114" spans="1:22" ht="12.75" customHeight="1">
      <c r="A114" s="567"/>
      <c r="B114" s="567"/>
      <c r="C114" s="567"/>
      <c r="D114" s="567"/>
      <c r="E114" s="567"/>
      <c r="F114" s="567"/>
      <c r="G114" s="567"/>
      <c r="H114" s="567"/>
      <c r="I114" s="567"/>
      <c r="J114" s="567"/>
      <c r="K114" s="567"/>
      <c r="L114" s="567"/>
      <c r="M114" s="567"/>
      <c r="N114" s="567"/>
      <c r="O114" s="567"/>
      <c r="P114" s="567"/>
      <c r="Q114" s="567"/>
      <c r="R114" s="567"/>
      <c r="S114" s="567"/>
      <c r="T114" s="567"/>
      <c r="U114" s="567"/>
      <c r="V114" s="567"/>
    </row>
    <row r="115" spans="1:22" ht="12.75" customHeight="1">
      <c r="A115" s="567"/>
      <c r="B115" s="567"/>
      <c r="C115" s="567"/>
      <c r="D115" s="567"/>
      <c r="E115" s="567"/>
      <c r="F115" s="567"/>
      <c r="G115" s="567"/>
      <c r="H115" s="567"/>
      <c r="I115" s="567"/>
      <c r="J115" s="567"/>
      <c r="K115" s="567"/>
      <c r="L115" s="567"/>
      <c r="M115" s="567"/>
      <c r="N115" s="567"/>
      <c r="O115" s="567"/>
      <c r="P115" s="567"/>
      <c r="Q115" s="567"/>
      <c r="R115" s="567"/>
      <c r="S115" s="567"/>
      <c r="T115" s="567"/>
      <c r="U115" s="567"/>
      <c r="V115" s="567"/>
    </row>
    <row r="116" spans="1:22" ht="12.75" customHeight="1">
      <c r="A116" s="567"/>
      <c r="B116" s="567"/>
      <c r="C116" s="567"/>
      <c r="D116" s="567"/>
      <c r="E116" s="567"/>
      <c r="F116" s="567"/>
      <c r="G116" s="567"/>
      <c r="H116" s="567"/>
      <c r="I116" s="567"/>
      <c r="J116" s="567"/>
      <c r="K116" s="567"/>
      <c r="L116" s="567"/>
      <c r="M116" s="567"/>
      <c r="N116" s="567"/>
      <c r="O116" s="567"/>
      <c r="P116" s="567"/>
      <c r="Q116" s="567"/>
      <c r="R116" s="567"/>
      <c r="S116" s="567"/>
      <c r="T116" s="567"/>
      <c r="U116" s="567"/>
      <c r="V116" s="567"/>
    </row>
    <row r="117" spans="1:22" ht="12.75" customHeight="1">
      <c r="A117" s="567"/>
      <c r="B117" s="567"/>
      <c r="C117" s="567"/>
      <c r="D117" s="567"/>
      <c r="E117" s="567"/>
      <c r="F117" s="567"/>
      <c r="G117" s="567"/>
      <c r="H117" s="567"/>
      <c r="I117" s="567"/>
      <c r="J117" s="567"/>
      <c r="K117" s="567"/>
      <c r="L117" s="567"/>
      <c r="M117" s="567"/>
      <c r="N117" s="567"/>
      <c r="O117" s="567"/>
      <c r="P117" s="567"/>
      <c r="Q117" s="567"/>
      <c r="R117" s="567"/>
      <c r="S117" s="567"/>
      <c r="T117" s="567"/>
      <c r="U117" s="567"/>
      <c r="V117" s="567"/>
    </row>
    <row r="118" spans="1:22">
      <c r="A118" s="567"/>
      <c r="B118" s="567"/>
      <c r="C118" s="567"/>
      <c r="D118" s="567"/>
      <c r="E118" s="567"/>
      <c r="F118" s="567"/>
      <c r="G118" s="567"/>
      <c r="H118" s="567"/>
      <c r="I118" s="567"/>
      <c r="J118" s="567"/>
      <c r="K118" s="567"/>
      <c r="L118" s="567"/>
      <c r="M118" s="567"/>
      <c r="N118" s="567"/>
      <c r="O118" s="567"/>
      <c r="P118" s="567"/>
      <c r="Q118" s="567"/>
      <c r="R118" s="567"/>
      <c r="S118" s="567"/>
      <c r="T118" s="567"/>
      <c r="U118" s="567"/>
      <c r="V118" s="567"/>
    </row>
    <row r="119" spans="1:22">
      <c r="A119" s="567"/>
      <c r="B119" s="567"/>
      <c r="C119" s="567"/>
      <c r="D119" s="567"/>
      <c r="E119" s="567"/>
      <c r="F119" s="567"/>
      <c r="G119" s="567"/>
      <c r="H119" s="567"/>
      <c r="I119" s="567"/>
      <c r="J119" s="567"/>
      <c r="K119" s="567"/>
      <c r="L119" s="567"/>
      <c r="M119" s="567"/>
      <c r="N119" s="567"/>
      <c r="O119" s="567"/>
      <c r="P119" s="567"/>
      <c r="Q119" s="567"/>
      <c r="R119" s="567"/>
      <c r="S119" s="567"/>
      <c r="T119" s="567"/>
      <c r="U119" s="567"/>
      <c r="V119" s="567"/>
    </row>
    <row r="120" spans="1:22">
      <c r="A120" s="567"/>
      <c r="B120" s="567"/>
      <c r="C120" s="567"/>
      <c r="D120" s="567"/>
      <c r="E120" s="567"/>
      <c r="F120" s="567"/>
      <c r="G120" s="567"/>
      <c r="H120" s="567"/>
      <c r="I120" s="567"/>
      <c r="J120" s="567"/>
      <c r="K120" s="567"/>
      <c r="L120" s="567"/>
      <c r="M120" s="567"/>
      <c r="N120" s="567"/>
      <c r="O120" s="567"/>
      <c r="P120" s="567"/>
      <c r="Q120" s="567"/>
      <c r="R120" s="567"/>
      <c r="S120" s="567"/>
      <c r="T120" s="567"/>
      <c r="U120" s="567"/>
      <c r="V120" s="567"/>
    </row>
    <row r="121" spans="1:22">
      <c r="A121" s="567"/>
      <c r="B121" s="567"/>
      <c r="C121" s="567"/>
      <c r="D121" s="567"/>
      <c r="E121" s="567"/>
      <c r="F121" s="567"/>
      <c r="G121" s="567"/>
      <c r="H121" s="567"/>
      <c r="I121" s="567"/>
      <c r="J121" s="567"/>
      <c r="K121" s="567"/>
      <c r="L121" s="567"/>
      <c r="M121" s="567"/>
      <c r="N121" s="567"/>
      <c r="O121" s="567"/>
      <c r="P121" s="567"/>
      <c r="Q121" s="567"/>
      <c r="R121" s="567"/>
      <c r="S121" s="567"/>
      <c r="T121" s="567"/>
      <c r="U121" s="567"/>
      <c r="V121" s="567"/>
    </row>
    <row r="122" spans="1:22">
      <c r="A122" s="567"/>
      <c r="B122" s="567"/>
      <c r="C122" s="567"/>
      <c r="D122" s="567"/>
      <c r="E122" s="567"/>
      <c r="F122" s="567"/>
      <c r="G122" s="567"/>
      <c r="H122" s="567"/>
      <c r="I122" s="567"/>
      <c r="J122" s="567"/>
      <c r="K122" s="567"/>
      <c r="L122" s="567"/>
      <c r="M122" s="567"/>
      <c r="N122" s="567"/>
      <c r="O122" s="567"/>
      <c r="P122" s="567"/>
      <c r="Q122" s="567"/>
      <c r="R122" s="567"/>
      <c r="S122" s="567"/>
      <c r="T122" s="567"/>
      <c r="U122" s="567"/>
      <c r="V122" s="567"/>
    </row>
    <row r="123" spans="1:22">
      <c r="A123" s="567"/>
      <c r="B123" s="567"/>
      <c r="C123" s="567"/>
      <c r="D123" s="567"/>
      <c r="E123" s="567"/>
      <c r="F123" s="567"/>
      <c r="G123" s="567"/>
      <c r="H123" s="567"/>
      <c r="I123" s="567"/>
      <c r="J123" s="567"/>
      <c r="K123" s="567"/>
      <c r="L123" s="567"/>
      <c r="M123" s="567"/>
      <c r="N123" s="567"/>
      <c r="O123" s="567"/>
      <c r="P123" s="567"/>
      <c r="Q123" s="567"/>
      <c r="R123" s="567"/>
      <c r="S123" s="567"/>
      <c r="T123" s="567"/>
      <c r="U123" s="567"/>
      <c r="V123" s="567"/>
    </row>
    <row r="124" spans="1:22">
      <c r="A124" s="567"/>
      <c r="B124" s="567"/>
      <c r="C124" s="567"/>
      <c r="D124" s="567"/>
      <c r="E124" s="567"/>
      <c r="F124" s="567"/>
      <c r="G124" s="567"/>
      <c r="H124" s="567"/>
      <c r="I124" s="567"/>
      <c r="J124" s="567"/>
      <c r="K124" s="567"/>
      <c r="L124" s="567"/>
      <c r="M124" s="567"/>
      <c r="N124" s="567"/>
      <c r="O124" s="567"/>
      <c r="P124" s="567"/>
      <c r="Q124" s="567"/>
      <c r="R124" s="567"/>
      <c r="S124" s="567"/>
      <c r="T124" s="567"/>
      <c r="U124" s="567"/>
      <c r="V124" s="567"/>
    </row>
    <row r="125" spans="1:22">
      <c r="A125" s="567"/>
      <c r="B125" s="567"/>
      <c r="C125" s="567"/>
      <c r="D125" s="567"/>
      <c r="E125" s="567"/>
      <c r="F125" s="567"/>
      <c r="G125" s="567"/>
      <c r="H125" s="567"/>
      <c r="I125" s="567"/>
      <c r="J125" s="567"/>
      <c r="K125" s="567"/>
      <c r="L125" s="567"/>
      <c r="M125" s="567"/>
      <c r="N125" s="567"/>
      <c r="O125" s="567"/>
      <c r="P125" s="567"/>
      <c r="Q125" s="567"/>
      <c r="R125" s="567"/>
      <c r="S125" s="567"/>
      <c r="T125" s="567"/>
      <c r="U125" s="567"/>
      <c r="V125" s="567"/>
    </row>
    <row r="126" spans="1:22">
      <c r="A126" s="567"/>
      <c r="B126" s="567"/>
      <c r="C126" s="567"/>
      <c r="D126" s="567"/>
      <c r="E126" s="567"/>
      <c r="F126" s="567"/>
      <c r="G126" s="567"/>
      <c r="H126" s="567"/>
      <c r="I126" s="567"/>
      <c r="J126" s="567"/>
      <c r="K126" s="567"/>
      <c r="L126" s="567"/>
      <c r="M126" s="567"/>
      <c r="N126" s="567"/>
      <c r="O126" s="567"/>
      <c r="P126" s="567"/>
      <c r="Q126" s="567"/>
      <c r="R126" s="567"/>
      <c r="S126" s="567"/>
      <c r="T126" s="567"/>
      <c r="U126" s="567"/>
      <c r="V126" s="567"/>
    </row>
    <row r="127" spans="1:22">
      <c r="A127" s="567"/>
      <c r="B127" s="567"/>
      <c r="C127" s="567"/>
      <c r="D127" s="567"/>
      <c r="E127" s="567"/>
      <c r="F127" s="567"/>
      <c r="G127" s="567"/>
      <c r="H127" s="567"/>
      <c r="I127" s="567"/>
      <c r="J127" s="567"/>
      <c r="K127" s="567"/>
      <c r="L127" s="567"/>
      <c r="M127" s="567"/>
      <c r="N127" s="567"/>
      <c r="O127" s="567"/>
      <c r="P127" s="567"/>
      <c r="Q127" s="567"/>
      <c r="R127" s="567"/>
      <c r="S127" s="567"/>
      <c r="T127" s="567"/>
      <c r="U127" s="567"/>
      <c r="V127" s="567"/>
    </row>
    <row r="128" spans="1:22">
      <c r="A128" s="567"/>
      <c r="B128" s="567"/>
      <c r="C128" s="567"/>
      <c r="D128" s="567"/>
      <c r="E128" s="567"/>
      <c r="F128" s="567"/>
      <c r="G128" s="567"/>
      <c r="H128" s="567"/>
      <c r="I128" s="567"/>
      <c r="J128" s="567"/>
      <c r="K128" s="567"/>
      <c r="L128" s="567"/>
      <c r="M128" s="567"/>
      <c r="N128" s="567"/>
      <c r="O128" s="567"/>
      <c r="P128" s="567"/>
      <c r="Q128" s="567"/>
      <c r="R128" s="567"/>
      <c r="S128" s="567"/>
      <c r="T128" s="567"/>
      <c r="U128" s="567"/>
      <c r="V128" s="567"/>
    </row>
    <row r="129" spans="1:22">
      <c r="A129" s="567"/>
      <c r="B129" s="567"/>
      <c r="C129" s="567"/>
      <c r="D129" s="567"/>
      <c r="E129" s="567"/>
      <c r="F129" s="567"/>
      <c r="G129" s="567"/>
      <c r="H129" s="567"/>
      <c r="I129" s="567"/>
      <c r="J129" s="567"/>
      <c r="K129" s="567"/>
      <c r="L129" s="567"/>
      <c r="M129" s="567"/>
      <c r="N129" s="567"/>
      <c r="O129" s="567"/>
      <c r="P129" s="567"/>
      <c r="Q129" s="567"/>
      <c r="R129" s="567"/>
      <c r="S129" s="567"/>
      <c r="T129" s="567"/>
      <c r="U129" s="567"/>
      <c r="V129" s="567"/>
    </row>
    <row r="130" spans="1:22">
      <c r="A130" s="567"/>
      <c r="B130" s="567"/>
      <c r="C130" s="567"/>
      <c r="D130" s="567"/>
      <c r="E130" s="567"/>
      <c r="F130" s="567"/>
      <c r="G130" s="567"/>
      <c r="H130" s="567"/>
      <c r="I130" s="567"/>
      <c r="J130" s="567"/>
      <c r="K130" s="567"/>
      <c r="L130" s="567"/>
      <c r="M130" s="567"/>
      <c r="N130" s="567"/>
      <c r="O130" s="567"/>
      <c r="P130" s="567"/>
      <c r="Q130" s="567"/>
      <c r="R130" s="567"/>
      <c r="S130" s="567"/>
      <c r="T130" s="567"/>
      <c r="U130" s="567"/>
      <c r="V130" s="567"/>
    </row>
    <row r="131" spans="1:22">
      <c r="A131" s="567"/>
      <c r="B131" s="567"/>
      <c r="C131" s="567"/>
      <c r="D131" s="567"/>
      <c r="E131" s="567"/>
      <c r="F131" s="567"/>
      <c r="G131" s="567"/>
      <c r="H131" s="567"/>
      <c r="I131" s="567"/>
      <c r="J131" s="567"/>
      <c r="K131" s="567"/>
      <c r="L131" s="567"/>
      <c r="M131" s="567"/>
      <c r="N131" s="567"/>
      <c r="O131" s="567"/>
      <c r="P131" s="567"/>
      <c r="Q131" s="567"/>
      <c r="R131" s="567"/>
      <c r="S131" s="567"/>
      <c r="T131" s="567"/>
      <c r="U131" s="567"/>
      <c r="V131" s="567"/>
    </row>
    <row r="132" spans="1:22">
      <c r="A132" s="567"/>
      <c r="B132" s="567"/>
      <c r="C132" s="567"/>
      <c r="D132" s="567"/>
      <c r="E132" s="567"/>
      <c r="F132" s="567"/>
      <c r="G132" s="567"/>
      <c r="H132" s="567"/>
      <c r="I132" s="567"/>
      <c r="J132" s="567"/>
      <c r="K132" s="567"/>
      <c r="L132" s="567"/>
      <c r="M132" s="567"/>
      <c r="N132" s="567"/>
      <c r="O132" s="567"/>
      <c r="P132" s="567"/>
      <c r="Q132" s="567"/>
      <c r="R132" s="567"/>
      <c r="S132" s="567"/>
      <c r="T132" s="567"/>
      <c r="U132" s="567"/>
      <c r="V132" s="567"/>
    </row>
    <row r="133" spans="1:22">
      <c r="A133" s="567"/>
      <c r="B133" s="567"/>
      <c r="C133" s="567"/>
      <c r="D133" s="567"/>
      <c r="E133" s="567"/>
      <c r="F133" s="567"/>
      <c r="G133" s="567"/>
      <c r="H133" s="567"/>
      <c r="I133" s="567"/>
      <c r="J133" s="567"/>
      <c r="K133" s="567"/>
      <c r="L133" s="567"/>
      <c r="M133" s="567"/>
      <c r="N133" s="567"/>
      <c r="O133" s="567"/>
      <c r="P133" s="567"/>
      <c r="Q133" s="567"/>
      <c r="R133" s="567"/>
      <c r="S133" s="567"/>
      <c r="T133" s="567"/>
      <c r="U133" s="567"/>
      <c r="V133" s="567"/>
    </row>
    <row r="134" spans="1:22">
      <c r="A134" s="567"/>
      <c r="B134" s="567"/>
      <c r="C134" s="567"/>
      <c r="D134" s="567"/>
      <c r="E134" s="567"/>
      <c r="F134" s="567"/>
      <c r="G134" s="567"/>
      <c r="H134" s="567"/>
      <c r="I134" s="567"/>
      <c r="J134" s="567"/>
      <c r="K134" s="567"/>
      <c r="L134" s="567"/>
      <c r="M134" s="567"/>
      <c r="N134" s="567"/>
      <c r="O134" s="567"/>
      <c r="P134" s="567"/>
      <c r="Q134" s="567"/>
      <c r="R134" s="567"/>
      <c r="S134" s="567"/>
      <c r="T134" s="567"/>
      <c r="U134" s="567"/>
      <c r="V134" s="567"/>
    </row>
    <row r="135" spans="1:22">
      <c r="A135" s="567"/>
      <c r="B135" s="567"/>
      <c r="C135" s="567"/>
      <c r="D135" s="567"/>
      <c r="E135" s="567"/>
      <c r="F135" s="567"/>
      <c r="G135" s="567"/>
      <c r="H135" s="567"/>
      <c r="I135" s="567"/>
      <c r="J135" s="567"/>
      <c r="K135" s="567"/>
      <c r="L135" s="567"/>
      <c r="M135" s="567"/>
      <c r="N135" s="567"/>
      <c r="O135" s="567"/>
      <c r="P135" s="567"/>
      <c r="Q135" s="567"/>
      <c r="R135" s="567"/>
      <c r="S135" s="567"/>
      <c r="T135" s="567"/>
      <c r="U135" s="567"/>
      <c r="V135" s="567"/>
    </row>
    <row r="136" spans="1:22">
      <c r="A136" s="567"/>
      <c r="B136" s="567"/>
      <c r="C136" s="567"/>
      <c r="D136" s="567"/>
      <c r="E136" s="567"/>
      <c r="F136" s="567"/>
      <c r="G136" s="567"/>
      <c r="H136" s="567"/>
      <c r="I136" s="567"/>
      <c r="J136" s="567"/>
      <c r="K136" s="567"/>
      <c r="L136" s="567"/>
      <c r="M136" s="567"/>
      <c r="N136" s="567"/>
      <c r="O136" s="567"/>
      <c r="P136" s="567"/>
      <c r="Q136" s="567"/>
      <c r="R136" s="567"/>
      <c r="S136" s="567"/>
      <c r="T136" s="567"/>
      <c r="U136" s="567"/>
      <c r="V136" s="567"/>
    </row>
    <row r="137" spans="1:22">
      <c r="A137" s="567"/>
      <c r="B137" s="567"/>
      <c r="C137" s="567"/>
      <c r="D137" s="567"/>
      <c r="E137" s="567"/>
      <c r="F137" s="567"/>
      <c r="G137" s="567"/>
      <c r="H137" s="567"/>
      <c r="I137" s="567"/>
      <c r="J137" s="567"/>
      <c r="K137" s="567"/>
      <c r="L137" s="567"/>
      <c r="M137" s="567"/>
      <c r="N137" s="567"/>
      <c r="O137" s="567"/>
      <c r="P137" s="567"/>
      <c r="Q137" s="567"/>
      <c r="R137" s="567"/>
      <c r="S137" s="567"/>
      <c r="T137" s="567"/>
      <c r="U137" s="567"/>
      <c r="V137" s="567"/>
    </row>
    <row r="138" spans="1:22" ht="12.75" customHeight="1">
      <c r="A138" s="567"/>
      <c r="B138" s="567"/>
      <c r="C138" s="567"/>
      <c r="D138" s="567"/>
      <c r="E138" s="567"/>
      <c r="F138" s="567"/>
      <c r="G138" s="567"/>
      <c r="H138" s="567"/>
      <c r="I138" s="567"/>
      <c r="J138" s="567"/>
      <c r="K138" s="567"/>
      <c r="L138" s="567"/>
      <c r="M138" s="567"/>
      <c r="N138" s="567"/>
      <c r="O138" s="567"/>
      <c r="P138" s="567"/>
      <c r="Q138" s="567"/>
      <c r="R138" s="567"/>
      <c r="S138" s="567"/>
      <c r="T138" s="567"/>
      <c r="U138" s="567"/>
      <c r="V138" s="567"/>
    </row>
    <row r="139" spans="1:22" ht="12.75" customHeight="1">
      <c r="A139" s="567"/>
      <c r="B139" s="567"/>
      <c r="C139" s="567"/>
      <c r="D139" s="567"/>
      <c r="E139" s="567"/>
      <c r="F139" s="567"/>
      <c r="G139" s="567"/>
      <c r="H139" s="567"/>
      <c r="I139" s="567"/>
      <c r="J139" s="567"/>
      <c r="K139" s="567"/>
      <c r="L139" s="567"/>
      <c r="M139" s="567"/>
      <c r="N139" s="567"/>
      <c r="O139" s="567"/>
      <c r="P139" s="567"/>
      <c r="Q139" s="567"/>
      <c r="R139" s="567"/>
      <c r="S139" s="567"/>
      <c r="T139" s="567"/>
      <c r="U139" s="567"/>
      <c r="V139" s="567"/>
    </row>
    <row r="140" spans="1:22" ht="12.75" customHeight="1">
      <c r="A140" s="567"/>
      <c r="B140" s="567"/>
      <c r="C140" s="567"/>
      <c r="D140" s="567"/>
      <c r="E140" s="567"/>
      <c r="F140" s="567"/>
      <c r="G140" s="567"/>
      <c r="H140" s="567"/>
      <c r="I140" s="567"/>
      <c r="J140" s="567"/>
      <c r="K140" s="567"/>
      <c r="L140" s="567"/>
      <c r="M140" s="567"/>
      <c r="N140" s="567"/>
      <c r="O140" s="567"/>
      <c r="P140" s="567"/>
      <c r="Q140" s="567"/>
      <c r="R140" s="567"/>
      <c r="S140" s="567"/>
      <c r="T140" s="567"/>
      <c r="U140" s="567"/>
      <c r="V140" s="567"/>
    </row>
    <row r="141" spans="1:22">
      <c r="A141" s="567"/>
      <c r="B141" s="567"/>
      <c r="C141" s="567"/>
      <c r="D141" s="567"/>
      <c r="E141" s="567"/>
      <c r="F141" s="567"/>
      <c r="G141" s="567"/>
      <c r="H141" s="567"/>
      <c r="I141" s="567"/>
      <c r="J141" s="567"/>
      <c r="K141" s="567"/>
      <c r="L141" s="567"/>
      <c r="M141" s="567"/>
      <c r="N141" s="567"/>
      <c r="O141" s="567"/>
      <c r="P141" s="567"/>
      <c r="Q141" s="567"/>
      <c r="R141" s="567"/>
      <c r="S141" s="567"/>
      <c r="T141" s="567"/>
      <c r="U141" s="567"/>
      <c r="V141" s="567"/>
    </row>
    <row r="142" spans="1:22">
      <c r="A142" s="567"/>
      <c r="B142" s="567"/>
      <c r="C142" s="567"/>
      <c r="D142" s="567"/>
      <c r="E142" s="567"/>
      <c r="F142" s="567"/>
      <c r="G142" s="567"/>
      <c r="H142" s="567"/>
      <c r="I142" s="567"/>
      <c r="J142" s="567"/>
      <c r="K142" s="567"/>
      <c r="L142" s="567"/>
      <c r="M142" s="567"/>
      <c r="N142" s="567"/>
      <c r="O142" s="567"/>
      <c r="P142" s="567"/>
      <c r="Q142" s="567"/>
      <c r="R142" s="567"/>
      <c r="S142" s="567"/>
      <c r="T142" s="567"/>
      <c r="U142" s="567"/>
      <c r="V142" s="567"/>
    </row>
    <row r="143" spans="1:22">
      <c r="A143" s="567"/>
      <c r="B143" s="567"/>
      <c r="C143" s="567"/>
      <c r="D143" s="567"/>
      <c r="E143" s="567"/>
      <c r="F143" s="567"/>
      <c r="G143" s="567"/>
      <c r="H143" s="567"/>
      <c r="I143" s="567"/>
      <c r="J143" s="567"/>
      <c r="K143" s="567"/>
      <c r="L143" s="567"/>
      <c r="M143" s="567"/>
      <c r="N143" s="567"/>
      <c r="O143" s="567"/>
      <c r="P143" s="567"/>
      <c r="Q143" s="567"/>
      <c r="R143" s="567"/>
      <c r="S143" s="567"/>
      <c r="T143" s="567"/>
      <c r="U143" s="567"/>
      <c r="V143" s="567"/>
    </row>
    <row r="144" spans="1:22">
      <c r="A144" s="567"/>
      <c r="B144" s="567"/>
      <c r="C144" s="567"/>
      <c r="D144" s="567"/>
      <c r="E144" s="567"/>
      <c r="F144" s="567"/>
      <c r="G144" s="567"/>
      <c r="H144" s="567"/>
      <c r="I144" s="567"/>
      <c r="J144" s="567"/>
      <c r="K144" s="567"/>
      <c r="L144" s="567"/>
      <c r="M144" s="567"/>
      <c r="N144" s="567"/>
      <c r="O144" s="567"/>
      <c r="P144" s="567"/>
      <c r="Q144" s="567"/>
      <c r="R144" s="567"/>
      <c r="S144" s="567"/>
      <c r="T144" s="567"/>
      <c r="U144" s="567"/>
      <c r="V144" s="567"/>
    </row>
    <row r="145" spans="1:22">
      <c r="A145" s="567"/>
      <c r="B145" s="567"/>
      <c r="C145" s="567"/>
      <c r="D145" s="567"/>
      <c r="E145" s="567"/>
      <c r="F145" s="567"/>
      <c r="G145" s="567"/>
      <c r="H145" s="567"/>
      <c r="I145" s="567"/>
      <c r="J145" s="567"/>
      <c r="K145" s="567"/>
      <c r="L145" s="567"/>
      <c r="M145" s="567"/>
      <c r="N145" s="567"/>
      <c r="O145" s="567"/>
      <c r="P145" s="567"/>
      <c r="Q145" s="567"/>
      <c r="R145" s="567"/>
      <c r="S145" s="567"/>
      <c r="T145" s="567"/>
      <c r="U145" s="567"/>
      <c r="V145" s="567"/>
    </row>
    <row r="146" spans="1:22">
      <c r="A146" s="567"/>
      <c r="B146" s="567"/>
      <c r="C146" s="567"/>
      <c r="D146" s="567"/>
      <c r="E146" s="567"/>
      <c r="F146" s="567"/>
      <c r="G146" s="567"/>
      <c r="H146" s="567"/>
      <c r="I146" s="567"/>
      <c r="J146" s="567"/>
      <c r="K146" s="567"/>
      <c r="L146" s="567"/>
      <c r="M146" s="567"/>
      <c r="N146" s="567"/>
      <c r="O146" s="567"/>
      <c r="P146" s="567"/>
      <c r="Q146" s="567"/>
      <c r="R146" s="567"/>
      <c r="S146" s="567"/>
      <c r="T146" s="567"/>
      <c r="U146" s="567"/>
      <c r="V146" s="567"/>
    </row>
    <row r="147" spans="1:22">
      <c r="A147" s="567"/>
      <c r="B147" s="567"/>
      <c r="C147" s="567"/>
      <c r="D147" s="567"/>
      <c r="E147" s="567"/>
      <c r="F147" s="567"/>
      <c r="G147" s="567"/>
      <c r="H147" s="567"/>
      <c r="I147" s="567"/>
      <c r="J147" s="567"/>
      <c r="K147" s="567"/>
      <c r="L147" s="567"/>
      <c r="M147" s="567"/>
      <c r="N147" s="567"/>
      <c r="O147" s="567"/>
      <c r="P147" s="567"/>
      <c r="Q147" s="567"/>
      <c r="R147" s="567"/>
      <c r="S147" s="567"/>
      <c r="T147" s="567"/>
      <c r="U147" s="567"/>
      <c r="V147" s="567"/>
    </row>
    <row r="148" spans="1:22">
      <c r="A148" s="567"/>
      <c r="B148" s="567"/>
      <c r="C148" s="567"/>
      <c r="D148" s="567"/>
      <c r="E148" s="567"/>
      <c r="F148" s="567"/>
      <c r="G148" s="567"/>
      <c r="H148" s="567"/>
      <c r="I148" s="567"/>
      <c r="J148" s="567"/>
      <c r="K148" s="567"/>
      <c r="L148" s="567"/>
      <c r="M148" s="567"/>
      <c r="N148" s="567"/>
      <c r="O148" s="567"/>
      <c r="P148" s="567"/>
      <c r="Q148" s="567"/>
      <c r="R148" s="567"/>
      <c r="S148" s="567"/>
      <c r="T148" s="567"/>
      <c r="U148" s="567"/>
      <c r="V148" s="567"/>
    </row>
    <row r="149" spans="1:22">
      <c r="A149" s="567"/>
      <c r="B149" s="567"/>
      <c r="C149" s="567"/>
      <c r="D149" s="567"/>
      <c r="E149" s="567"/>
      <c r="F149" s="567"/>
      <c r="G149" s="567"/>
      <c r="H149" s="567"/>
      <c r="I149" s="567"/>
      <c r="J149" s="567"/>
      <c r="K149" s="567"/>
      <c r="L149" s="567"/>
      <c r="M149" s="567"/>
      <c r="N149" s="567"/>
      <c r="O149" s="567"/>
      <c r="P149" s="567"/>
      <c r="Q149" s="567"/>
      <c r="R149" s="567"/>
      <c r="S149" s="567"/>
      <c r="T149" s="567"/>
      <c r="U149" s="567"/>
      <c r="V149" s="567"/>
    </row>
    <row r="150" spans="1:22">
      <c r="A150" s="567"/>
      <c r="B150" s="567"/>
      <c r="C150" s="567"/>
      <c r="D150" s="567"/>
      <c r="E150" s="567"/>
      <c r="F150" s="567"/>
      <c r="G150" s="567"/>
      <c r="H150" s="567"/>
      <c r="I150" s="567"/>
      <c r="J150" s="567"/>
      <c r="K150" s="567"/>
      <c r="L150" s="567"/>
      <c r="M150" s="567"/>
      <c r="N150" s="567"/>
      <c r="O150" s="567"/>
      <c r="P150" s="567"/>
      <c r="Q150" s="567"/>
      <c r="R150" s="567"/>
      <c r="S150" s="567"/>
      <c r="T150" s="567"/>
      <c r="U150" s="567"/>
      <c r="V150" s="567"/>
    </row>
    <row r="151" spans="1:22">
      <c r="A151" s="567"/>
      <c r="B151" s="567"/>
      <c r="C151" s="567"/>
      <c r="D151" s="567"/>
      <c r="E151" s="567"/>
      <c r="F151" s="567"/>
      <c r="G151" s="567"/>
      <c r="H151" s="567"/>
      <c r="I151" s="567"/>
      <c r="J151" s="567"/>
      <c r="K151" s="567"/>
      <c r="L151" s="567"/>
      <c r="M151" s="567"/>
      <c r="N151" s="567"/>
      <c r="O151" s="567"/>
      <c r="P151" s="567"/>
      <c r="Q151" s="567"/>
      <c r="R151" s="567"/>
      <c r="S151" s="567"/>
      <c r="T151" s="567"/>
      <c r="U151" s="567"/>
      <c r="V151" s="567"/>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1" orientation="landscape" r:id="rId1"/>
  <headerFooter alignWithMargins="0">
    <oddHeader>&amp;R&amp;"Arial,Bold"Formula Rate 
&amp;A
Page &amp;P of &amp;N</oddHeader>
  </headerFooter>
  <rowBreaks count="1" manualBreakCount="1">
    <brk id="102"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S75"/>
  <sheetViews>
    <sheetView topLeftCell="A34" zoomScale="70" zoomScaleNormal="70" zoomScaleSheetLayoutView="85" workbookViewId="0">
      <selection activeCell="D36" sqref="D36"/>
    </sheetView>
  </sheetViews>
  <sheetFormatPr defaultRowHeight="15"/>
  <cols>
    <col min="1" max="1" width="10.42578125" style="57" customWidth="1"/>
    <col min="2" max="2" width="15.140625" style="28" customWidth="1"/>
    <col min="3" max="3" width="59.140625" style="9" customWidth="1"/>
    <col min="4" max="4" width="15.7109375" style="9" customWidth="1"/>
    <col min="5" max="5" width="22" style="9" customWidth="1"/>
    <col min="6" max="6" width="17.28515625" style="9" customWidth="1"/>
    <col min="7" max="7" width="47.7109375" style="9" customWidth="1"/>
    <col min="8" max="8" width="13.85546875" style="9" customWidth="1"/>
    <col min="9" max="9" width="9.140625" style="9"/>
    <col min="10" max="10" width="12.42578125" style="9" bestFit="1" customWidth="1"/>
    <col min="11" max="11" width="13.28515625" style="9" customWidth="1"/>
    <col min="12" max="16384" width="9.140625" style="9"/>
  </cols>
  <sheetData>
    <row r="1" spans="1:11" ht="15.75">
      <c r="A1" s="886" t="s">
        <v>115</v>
      </c>
    </row>
    <row r="2" spans="1:11" ht="15.75">
      <c r="A2" s="886" t="s">
        <v>115</v>
      </c>
    </row>
    <row r="3" spans="1:11">
      <c r="A3" s="1547" t="s">
        <v>388</v>
      </c>
      <c r="B3" s="1547"/>
      <c r="C3" s="1547"/>
      <c r="D3" s="1547"/>
      <c r="E3" s="1547"/>
      <c r="F3" s="1547"/>
      <c r="G3" s="1547"/>
      <c r="H3" s="40"/>
    </row>
    <row r="4" spans="1:11" ht="17.25" customHeight="1">
      <c r="A4" s="1548" t="str">
        <f>"Cost of Service Formula Rate Using Actual/Projected FF1 Balances"</f>
        <v>Cost of Service Formula Rate Using Actual/Projected FF1 Balances</v>
      </c>
      <c r="B4" s="1548"/>
      <c r="C4" s="1548"/>
      <c r="D4" s="1548"/>
      <c r="E4" s="1548"/>
      <c r="F4" s="1548"/>
      <c r="G4" s="1548"/>
      <c r="H4" s="96"/>
      <c r="I4" s="96"/>
      <c r="J4" s="96"/>
      <c r="K4" s="96"/>
    </row>
    <row r="5" spans="1:11" ht="18" customHeight="1">
      <c r="A5" s="1548" t="s">
        <v>489</v>
      </c>
      <c r="B5" s="1548"/>
      <c r="C5" s="1548"/>
      <c r="D5" s="1548"/>
      <c r="E5" s="1548"/>
      <c r="F5" s="1548"/>
      <c r="G5" s="1548"/>
    </row>
    <row r="6" spans="1:11" ht="19.5" customHeight="1">
      <c r="A6" s="1559" t="str">
        <f>TCOS!F9</f>
        <v xml:space="preserve">Indiana Michigan Power Company </v>
      </c>
      <c r="B6" s="1559"/>
      <c r="C6" s="1559"/>
      <c r="D6" s="1559"/>
      <c r="E6" s="1559"/>
      <c r="F6" s="1559"/>
      <c r="G6" s="1559"/>
    </row>
    <row r="7" spans="1:11" ht="12.75" customHeight="1">
      <c r="A7" s="1547"/>
      <c r="B7" s="1547"/>
      <c r="C7" s="1547"/>
      <c r="D7" s="1547"/>
      <c r="E7" s="1547"/>
      <c r="F7" s="1547"/>
      <c r="G7" s="47"/>
    </row>
    <row r="8" spans="1:11" ht="18">
      <c r="A8" s="1591"/>
      <c r="B8" s="1591"/>
      <c r="C8" s="1591"/>
      <c r="D8" s="1591"/>
      <c r="E8" s="1591"/>
      <c r="F8" s="1591"/>
      <c r="G8" s="1591"/>
    </row>
    <row r="9" spans="1:11" ht="18">
      <c r="A9" s="169"/>
      <c r="B9" s="169"/>
      <c r="C9" s="169"/>
      <c r="D9" s="169"/>
      <c r="E9" s="169"/>
      <c r="F9" s="169"/>
      <c r="G9" s="169"/>
    </row>
    <row r="10" spans="1:11" ht="15.75">
      <c r="B10" s="37" t="s">
        <v>163</v>
      </c>
      <c r="C10" s="37" t="s">
        <v>164</v>
      </c>
      <c r="D10" s="37" t="s">
        <v>165</v>
      </c>
      <c r="E10" s="37" t="s">
        <v>166</v>
      </c>
      <c r="F10" s="37" t="s">
        <v>85</v>
      </c>
      <c r="G10" s="37" t="s">
        <v>86</v>
      </c>
    </row>
    <row r="11" spans="1:11" ht="15.75">
      <c r="B11" s="49"/>
      <c r="C11" s="47"/>
      <c r="D11" s="208"/>
      <c r="E11" s="209"/>
      <c r="F11" s="210" t="s">
        <v>88</v>
      </c>
      <c r="G11" s="37"/>
    </row>
    <row r="12" spans="1:11" ht="15.75">
      <c r="A12" s="52" t="s">
        <v>170</v>
      </c>
      <c r="B12" s="49"/>
      <c r="C12" s="58"/>
      <c r="D12" s="52">
        <f>+TCOS!L4</f>
        <v>2025</v>
      </c>
      <c r="E12" s="210" t="s">
        <v>88</v>
      </c>
      <c r="F12" s="52" t="s">
        <v>116</v>
      </c>
      <c r="G12" s="37"/>
    </row>
    <row r="13" spans="1:11" ht="15.75">
      <c r="A13" s="52" t="s">
        <v>107</v>
      </c>
      <c r="B13" s="52" t="s">
        <v>37</v>
      </c>
      <c r="C13" s="52" t="s">
        <v>168</v>
      </c>
      <c r="D13" s="52" t="s">
        <v>38</v>
      </c>
      <c r="E13" s="52" t="s">
        <v>90</v>
      </c>
      <c r="F13" s="52" t="s">
        <v>39</v>
      </c>
      <c r="G13" s="52" t="s">
        <v>40</v>
      </c>
    </row>
    <row r="14" spans="1:11" ht="15.75">
      <c r="B14" s="52"/>
      <c r="C14" s="52"/>
      <c r="D14" s="52"/>
      <c r="E14" s="52"/>
      <c r="F14" s="52"/>
      <c r="G14" s="52"/>
    </row>
    <row r="15" spans="1:11" ht="15.75">
      <c r="B15" s="52"/>
      <c r="C15" s="52"/>
      <c r="D15" s="52"/>
      <c r="E15" s="52"/>
      <c r="F15" s="52"/>
      <c r="G15" s="52"/>
    </row>
    <row r="16" spans="1:11" ht="15.75">
      <c r="B16" s="52"/>
      <c r="D16" s="52"/>
      <c r="E16" s="52"/>
      <c r="F16" s="52"/>
      <c r="G16" s="52"/>
    </row>
    <row r="17" spans="1:7" ht="15.75">
      <c r="B17" s="52"/>
      <c r="C17" s="52" t="s">
        <v>497</v>
      </c>
      <c r="D17" s="45"/>
      <c r="E17" s="45"/>
      <c r="F17" s="45"/>
      <c r="G17" s="89"/>
    </row>
    <row r="18" spans="1:7">
      <c r="A18" s="57">
        <v>1</v>
      </c>
      <c r="B18" s="850"/>
      <c r="C18" s="851"/>
      <c r="D18" s="852"/>
      <c r="E18" s="66"/>
      <c r="F18" s="66"/>
      <c r="G18" s="883"/>
    </row>
    <row r="19" spans="1:7">
      <c r="A19" s="57">
        <v>2</v>
      </c>
      <c r="B19" s="850"/>
      <c r="C19" s="851"/>
      <c r="D19" s="852"/>
      <c r="E19" s="66"/>
      <c r="F19" s="66"/>
      <c r="G19" s="44"/>
    </row>
    <row r="20" spans="1:7">
      <c r="A20" s="57">
        <v>3</v>
      </c>
      <c r="B20" s="850"/>
      <c r="C20" s="851"/>
      <c r="D20" s="852"/>
      <c r="E20" s="66"/>
      <c r="F20" s="66"/>
      <c r="G20" s="44"/>
    </row>
    <row r="21" spans="1:7" ht="15.75">
      <c r="A21" s="57">
        <v>4</v>
      </c>
      <c r="B21" s="52"/>
      <c r="C21" s="243" t="s">
        <v>119</v>
      </c>
      <c r="D21" s="307">
        <f>SUM(D18:D19)</f>
        <v>0</v>
      </c>
      <c r="E21" s="66"/>
      <c r="F21" s="66"/>
      <c r="G21" s="52"/>
    </row>
    <row r="22" spans="1:7" ht="15.75">
      <c r="B22" s="52"/>
      <c r="C22" s="243"/>
      <c r="D22" s="258"/>
      <c r="E22" s="45"/>
      <c r="F22" s="45"/>
      <c r="G22" s="52"/>
    </row>
    <row r="23" spans="1:7" ht="15.75">
      <c r="A23" s="9"/>
      <c r="B23" s="52"/>
      <c r="C23" s="52" t="s">
        <v>50</v>
      </c>
      <c r="D23" s="301"/>
      <c r="E23" s="45"/>
      <c r="F23" s="45"/>
      <c r="G23" s="52"/>
    </row>
    <row r="24" spans="1:7" ht="15.75">
      <c r="A24" s="51">
        <f>+A21+1</f>
        <v>5</v>
      </c>
      <c r="B24" s="304"/>
      <c r="C24" s="302"/>
      <c r="D24" s="1117"/>
      <c r="E24" s="45"/>
      <c r="F24" s="45"/>
      <c r="G24" s="52"/>
    </row>
    <row r="25" spans="1:7" ht="15.75">
      <c r="A25" s="303">
        <f>+A24+1</f>
        <v>6</v>
      </c>
      <c r="B25" s="304" t="s">
        <v>51</v>
      </c>
      <c r="C25" s="304" t="s">
        <v>52</v>
      </c>
      <c r="D25" s="853">
        <v>0</v>
      </c>
      <c r="E25" s="45"/>
      <c r="F25" s="45"/>
      <c r="G25" s="52"/>
    </row>
    <row r="26" spans="1:7" ht="15.75">
      <c r="A26" s="51">
        <f>+A25+1</f>
        <v>7</v>
      </c>
      <c r="B26" s="302" t="s">
        <v>53</v>
      </c>
      <c r="C26" s="302" t="s">
        <v>54</v>
      </c>
      <c r="D26" s="853">
        <v>185872.61755770267</v>
      </c>
      <c r="E26" s="45"/>
      <c r="F26" s="45"/>
      <c r="G26" s="52"/>
    </row>
    <row r="27" spans="1:7" ht="15.75">
      <c r="A27" s="303">
        <f t="shared" ref="A27:A32" si="0">+A26+1</f>
        <v>8</v>
      </c>
      <c r="B27" s="304" t="s">
        <v>55</v>
      </c>
      <c r="C27" s="304" t="s">
        <v>56</v>
      </c>
      <c r="D27" s="853">
        <v>0</v>
      </c>
      <c r="E27" s="45"/>
      <c r="F27" s="45"/>
      <c r="G27" s="52"/>
    </row>
    <row r="28" spans="1:7" ht="15.75">
      <c r="A28" s="51">
        <f t="shared" si="0"/>
        <v>9</v>
      </c>
      <c r="B28" s="302" t="s">
        <v>57</v>
      </c>
      <c r="C28" s="302" t="s">
        <v>58</v>
      </c>
      <c r="D28" s="853">
        <v>5147096.4382385341</v>
      </c>
      <c r="E28" s="45"/>
      <c r="F28" s="45"/>
      <c r="G28" s="52"/>
    </row>
    <row r="29" spans="1:7" ht="15.75">
      <c r="A29" s="303">
        <f t="shared" si="0"/>
        <v>10</v>
      </c>
      <c r="B29" s="304" t="s">
        <v>59</v>
      </c>
      <c r="C29" s="304" t="s">
        <v>60</v>
      </c>
      <c r="D29" s="853">
        <v>178184.19650789606</v>
      </c>
      <c r="E29" s="45"/>
      <c r="F29" s="45"/>
      <c r="G29" s="52"/>
    </row>
    <row r="30" spans="1:7" ht="15.75">
      <c r="A30" s="51">
        <f t="shared" si="0"/>
        <v>11</v>
      </c>
      <c r="B30" s="302" t="s">
        <v>61</v>
      </c>
      <c r="C30" s="302" t="s">
        <v>62</v>
      </c>
      <c r="D30" s="853">
        <v>-7.0037338865161312</v>
      </c>
      <c r="E30" s="45"/>
      <c r="F30" s="45"/>
      <c r="G30" s="52"/>
    </row>
    <row r="31" spans="1:7" ht="15.75">
      <c r="A31" s="303">
        <f t="shared" si="0"/>
        <v>12</v>
      </c>
      <c r="B31" s="304" t="s">
        <v>63</v>
      </c>
      <c r="C31" s="304" t="s">
        <v>64</v>
      </c>
      <c r="D31" s="853">
        <v>0</v>
      </c>
      <c r="E31" s="45"/>
      <c r="F31" s="45"/>
      <c r="G31" s="52"/>
    </row>
    <row r="32" spans="1:7" ht="15.75">
      <c r="A32" s="51">
        <f t="shared" si="0"/>
        <v>13</v>
      </c>
      <c r="B32" s="302" t="s">
        <v>65</v>
      </c>
      <c r="C32" s="302" t="s">
        <v>66</v>
      </c>
      <c r="D32" s="853">
        <v>1486803.0135427336</v>
      </c>
      <c r="E32" s="45"/>
      <c r="F32" s="45"/>
      <c r="G32" s="52"/>
    </row>
    <row r="33" spans="1:19" ht="15.75">
      <c r="A33" s="57">
        <f>+A32+1</f>
        <v>14</v>
      </c>
      <c r="B33" s="286"/>
      <c r="C33" s="37" t="s">
        <v>67</v>
      </c>
      <c r="D33" s="287">
        <f>SUM(D24:D32)</f>
        <v>6997949.2621129807</v>
      </c>
      <c r="E33" s="45"/>
      <c r="F33" s="45"/>
      <c r="G33" s="52"/>
    </row>
    <row r="34" spans="1:19" ht="15.75">
      <c r="A34" s="239"/>
      <c r="B34" s="65"/>
      <c r="C34" s="52"/>
      <c r="D34" s="52"/>
      <c r="E34" s="52"/>
      <c r="F34" s="52"/>
      <c r="G34" s="52"/>
    </row>
    <row r="35" spans="1:19" ht="15.75">
      <c r="A35" s="239"/>
      <c r="B35" s="51"/>
      <c r="C35" s="100" t="s">
        <v>213</v>
      </c>
      <c r="D35" s="47"/>
      <c r="E35" s="47"/>
      <c r="F35" s="47"/>
      <c r="G35" s="47"/>
    </row>
    <row r="36" spans="1:19">
      <c r="A36" s="57">
        <f>+A33+1</f>
        <v>15</v>
      </c>
      <c r="B36" s="1208" t="s">
        <v>887</v>
      </c>
      <c r="C36" s="1346" t="s">
        <v>888</v>
      </c>
      <c r="D36" s="1209">
        <v>1123.9695251870569</v>
      </c>
      <c r="E36" s="1347">
        <v>951.24665048533939</v>
      </c>
      <c r="F36" s="1347">
        <v>172.72287470171747</v>
      </c>
      <c r="G36" s="44" t="s">
        <v>115</v>
      </c>
    </row>
    <row r="37" spans="1:19">
      <c r="A37" s="57">
        <f>+A36+1</f>
        <v>16</v>
      </c>
      <c r="B37" s="1208" t="s">
        <v>889</v>
      </c>
      <c r="C37" s="1346" t="s">
        <v>890</v>
      </c>
      <c r="D37" s="1209">
        <v>12766880.753051594</v>
      </c>
      <c r="E37" s="1347">
        <v>12766882.849473167</v>
      </c>
      <c r="F37" s="1347">
        <v>-2.0964215726416837</v>
      </c>
      <c r="G37" s="44" t="s">
        <v>115</v>
      </c>
    </row>
    <row r="38" spans="1:19">
      <c r="A38" s="57">
        <f>+A37+1</f>
        <v>17</v>
      </c>
      <c r="B38" s="1208" t="s">
        <v>891</v>
      </c>
      <c r="C38" s="1346" t="s">
        <v>892</v>
      </c>
      <c r="D38" s="1209">
        <v>3679561.7900551325</v>
      </c>
      <c r="E38" s="1347">
        <v>3743474.7637585471</v>
      </c>
      <c r="F38" s="1347">
        <v>-63912.973703414878</v>
      </c>
      <c r="G38" s="44" t="s">
        <v>115</v>
      </c>
    </row>
    <row r="39" spans="1:19">
      <c r="A39" s="57">
        <f>+A38+1</f>
        <v>18</v>
      </c>
      <c r="B39" s="1208" t="s">
        <v>949</v>
      </c>
      <c r="C39" s="1346" t="s">
        <v>950</v>
      </c>
      <c r="D39" s="1209">
        <v>50211.894001229994</v>
      </c>
      <c r="E39" s="1347">
        <v>16362.468336250204</v>
      </c>
      <c r="F39" s="1347">
        <v>33849.42566497979</v>
      </c>
      <c r="G39" s="44" t="s">
        <v>115</v>
      </c>
    </row>
    <row r="40" spans="1:19" ht="12.75" customHeight="1">
      <c r="A40" s="57">
        <f>+A39+1</f>
        <v>19</v>
      </c>
      <c r="B40" s="1208">
        <v>9280006</v>
      </c>
      <c r="C40" s="1346" t="s">
        <v>1074</v>
      </c>
      <c r="D40" s="1209">
        <v>2762109.900578456</v>
      </c>
      <c r="E40" s="1347">
        <v>2762109.900578456</v>
      </c>
      <c r="F40" s="1347">
        <v>0</v>
      </c>
      <c r="G40" s="47"/>
    </row>
    <row r="41" spans="1:19" ht="15.75" customHeight="1">
      <c r="A41" s="57">
        <f>+A40+1</f>
        <v>20</v>
      </c>
      <c r="B41" s="49"/>
      <c r="C41" s="1118" t="s">
        <v>615</v>
      </c>
      <c r="D41" s="60">
        <f t="shared" ref="D41" si="1">SUM(D36:D40)</f>
        <v>19259888.3072116</v>
      </c>
      <c r="E41" s="60">
        <f>SUM(E36:E40)</f>
        <v>19289781.228796907</v>
      </c>
      <c r="F41" s="60">
        <f t="shared" ref="F41" si="2">SUM(F36:F40)</f>
        <v>-29892.921585306016</v>
      </c>
      <c r="G41" s="30"/>
    </row>
    <row r="42" spans="1:19" ht="12.75" customHeight="1">
      <c r="B42" s="49"/>
      <c r="C42" s="50"/>
      <c r="D42" s="64"/>
      <c r="E42" s="33"/>
      <c r="F42" s="33"/>
      <c r="G42" s="47"/>
    </row>
    <row r="43" spans="1:19" ht="15.75">
      <c r="B43" s="51"/>
      <c r="C43" s="100" t="s">
        <v>212</v>
      </c>
      <c r="D43" s="33"/>
      <c r="E43" s="33"/>
      <c r="F43" s="33"/>
      <c r="G43" s="47"/>
    </row>
    <row r="44" spans="1:19">
      <c r="A44" s="57">
        <f>+A41+1</f>
        <v>21</v>
      </c>
      <c r="B44" s="1208" t="s">
        <v>893</v>
      </c>
      <c r="C44" s="1346" t="s">
        <v>894</v>
      </c>
      <c r="D44" s="1209">
        <v>35245.512399922591</v>
      </c>
      <c r="E44" s="1347">
        <v>35243.492564169705</v>
      </c>
      <c r="F44" s="1347">
        <v>2.0198357528851894</v>
      </c>
      <c r="G44"/>
      <c r="M44" s="29"/>
      <c r="N44" s="62"/>
      <c r="O44" s="63"/>
      <c r="P44" s="63"/>
      <c r="Q44" s="63"/>
      <c r="R44" s="63"/>
      <c r="S44" s="31"/>
    </row>
    <row r="45" spans="1:19">
      <c r="A45" s="57">
        <f>+A44+1</f>
        <v>22</v>
      </c>
      <c r="B45" s="1208" t="s">
        <v>895</v>
      </c>
      <c r="C45" s="1346" t="s">
        <v>896</v>
      </c>
      <c r="D45" s="1209">
        <v>34398.942266162048</v>
      </c>
      <c r="E45" s="1347">
        <v>31894.742994313612</v>
      </c>
      <c r="F45" s="1347">
        <v>2504.1992718484348</v>
      </c>
      <c r="G45"/>
      <c r="M45" s="29"/>
      <c r="N45" s="62"/>
      <c r="O45" s="63"/>
      <c r="P45" s="63"/>
      <c r="Q45" s="63"/>
      <c r="R45" s="63"/>
      <c r="S45" s="31"/>
    </row>
    <row r="46" spans="1:19">
      <c r="A46" s="57">
        <f t="shared" ref="A46:A59" si="3">+A45+1</f>
        <v>23</v>
      </c>
      <c r="B46" s="1208" t="s">
        <v>897</v>
      </c>
      <c r="C46" s="1346" t="s">
        <v>898</v>
      </c>
      <c r="D46" s="1209">
        <v>253.75697206546496</v>
      </c>
      <c r="E46" s="1347">
        <v>199.16961607723445</v>
      </c>
      <c r="F46" s="1347">
        <v>54.587355988230506</v>
      </c>
      <c r="G46"/>
      <c r="M46" s="29"/>
      <c r="N46" s="62"/>
      <c r="O46" s="63"/>
      <c r="P46" s="63"/>
      <c r="Q46" s="63"/>
      <c r="R46" s="63"/>
      <c r="S46" s="31"/>
    </row>
    <row r="47" spans="1:19">
      <c r="A47" s="57">
        <f t="shared" si="3"/>
        <v>24</v>
      </c>
      <c r="B47" s="1208" t="s">
        <v>1161</v>
      </c>
      <c r="C47" s="1346" t="s">
        <v>1162</v>
      </c>
      <c r="D47" s="1209">
        <v>5092.7482658216313</v>
      </c>
      <c r="E47" s="1347">
        <v>0</v>
      </c>
      <c r="F47" s="1347">
        <v>0</v>
      </c>
      <c r="G47"/>
      <c r="M47" s="29"/>
      <c r="N47" s="62"/>
      <c r="O47" s="63"/>
      <c r="P47" s="63"/>
      <c r="Q47" s="63"/>
      <c r="R47" s="63"/>
      <c r="S47" s="31"/>
    </row>
    <row r="48" spans="1:19">
      <c r="A48" s="57">
        <f>+A47+1</f>
        <v>25</v>
      </c>
      <c r="B48" s="1208" t="s">
        <v>899</v>
      </c>
      <c r="C48" s="1346" t="s">
        <v>900</v>
      </c>
      <c r="D48" s="1209">
        <v>1784.2918297025781</v>
      </c>
      <c r="E48" s="1347">
        <v>1565.7525066617779</v>
      </c>
      <c r="F48" s="1347">
        <v>218.53932304080013</v>
      </c>
      <c r="G48"/>
      <c r="M48" s="29"/>
      <c r="N48" s="62"/>
      <c r="O48" s="63"/>
      <c r="P48" s="63"/>
      <c r="Q48" s="63"/>
      <c r="R48" s="63"/>
      <c r="S48" s="31"/>
    </row>
    <row r="49" spans="1:19">
      <c r="A49" s="57">
        <f t="shared" si="3"/>
        <v>26</v>
      </c>
      <c r="B49" s="1208" t="s">
        <v>901</v>
      </c>
      <c r="C49" s="1346" t="s">
        <v>902</v>
      </c>
      <c r="D49" s="1209">
        <v>64739.620179495105</v>
      </c>
      <c r="E49" s="1347">
        <v>0</v>
      </c>
      <c r="F49" s="1347">
        <v>0</v>
      </c>
      <c r="G49"/>
      <c r="M49" s="29"/>
      <c r="N49" s="62"/>
      <c r="O49" s="63"/>
      <c r="P49" s="63"/>
      <c r="Q49" s="63"/>
      <c r="R49" s="63"/>
      <c r="S49" s="31"/>
    </row>
    <row r="50" spans="1:19">
      <c r="A50" s="57">
        <f t="shared" si="3"/>
        <v>27</v>
      </c>
      <c r="B50" s="1208" t="s">
        <v>903</v>
      </c>
      <c r="C50" s="1346" t="s">
        <v>904</v>
      </c>
      <c r="D50" s="1209">
        <v>344.80495292628967</v>
      </c>
      <c r="E50" s="1347">
        <v>302.59556475702226</v>
      </c>
      <c r="F50" s="1347">
        <v>42.20938816926742</v>
      </c>
      <c r="G50"/>
      <c r="M50" s="29"/>
      <c r="N50" s="62"/>
      <c r="O50" s="63"/>
      <c r="P50" s="63"/>
      <c r="Q50" s="63"/>
      <c r="R50" s="63"/>
      <c r="S50" s="31"/>
    </row>
    <row r="51" spans="1:19">
      <c r="A51" s="57">
        <f t="shared" si="3"/>
        <v>28</v>
      </c>
      <c r="B51" s="1208" t="s">
        <v>905</v>
      </c>
      <c r="C51" s="1346" t="s">
        <v>906</v>
      </c>
      <c r="D51" s="1209">
        <v>1429.0942176033236</v>
      </c>
      <c r="E51" s="1347">
        <v>1253.6792510642945</v>
      </c>
      <c r="F51" s="1347">
        <v>175.41496653902914</v>
      </c>
      <c r="G51"/>
      <c r="M51" s="29"/>
      <c r="N51" s="62"/>
      <c r="O51" s="63"/>
      <c r="P51" s="63"/>
      <c r="Q51" s="63"/>
      <c r="R51" s="63"/>
      <c r="S51" s="31"/>
    </row>
    <row r="52" spans="1:19">
      <c r="A52" s="57">
        <f>A51+1</f>
        <v>29</v>
      </c>
      <c r="B52" s="1208"/>
      <c r="C52" s="1346"/>
      <c r="D52" s="1209"/>
      <c r="E52" s="1347"/>
      <c r="F52" s="1347"/>
      <c r="G52"/>
      <c r="M52" s="29"/>
      <c r="N52" s="62"/>
      <c r="O52" s="63"/>
      <c r="P52" s="63"/>
      <c r="Q52" s="63"/>
      <c r="R52" s="63"/>
      <c r="S52" s="31"/>
    </row>
    <row r="53" spans="1:19">
      <c r="A53" s="57">
        <f>A52+1</f>
        <v>30</v>
      </c>
      <c r="B53" s="1208"/>
      <c r="C53" s="851"/>
      <c r="D53" s="1209"/>
      <c r="E53" s="45"/>
      <c r="F53" s="45"/>
      <c r="G53"/>
      <c r="M53" s="29"/>
      <c r="N53" s="62"/>
      <c r="O53" s="63"/>
      <c r="P53" s="63"/>
      <c r="Q53" s="63"/>
      <c r="R53" s="63"/>
      <c r="S53" s="31"/>
    </row>
    <row r="54" spans="1:19">
      <c r="A54" s="57">
        <f>A53+1</f>
        <v>31</v>
      </c>
      <c r="B54" s="1208"/>
      <c r="C54" s="851"/>
      <c r="D54" s="1209"/>
      <c r="E54" s="45"/>
      <c r="F54" s="45"/>
      <c r="G54"/>
      <c r="M54" s="29"/>
      <c r="N54" s="62"/>
      <c r="O54" s="63"/>
      <c r="P54" s="63"/>
      <c r="Q54" s="63"/>
      <c r="R54" s="63"/>
      <c r="S54" s="31"/>
    </row>
    <row r="55" spans="1:19">
      <c r="A55" s="57">
        <f>A54+1</f>
        <v>32</v>
      </c>
      <c r="B55" s="1208"/>
      <c r="C55" s="851"/>
      <c r="D55" s="1209"/>
      <c r="E55" s="45"/>
      <c r="F55" s="45"/>
      <c r="G55"/>
      <c r="M55" s="29"/>
      <c r="N55" s="62"/>
      <c r="O55" s="63"/>
      <c r="P55" s="63"/>
      <c r="Q55" s="63"/>
      <c r="R55" s="63"/>
      <c r="S55" s="31"/>
    </row>
    <row r="56" spans="1:19">
      <c r="A56" s="57">
        <f t="shared" si="3"/>
        <v>33</v>
      </c>
      <c r="B56" s="1208"/>
      <c r="C56" s="851"/>
      <c r="D56" s="1209"/>
      <c r="E56" s="45"/>
      <c r="F56" s="45"/>
      <c r="G56"/>
    </row>
    <row r="57" spans="1:19">
      <c r="A57" s="57">
        <f t="shared" si="3"/>
        <v>34</v>
      </c>
      <c r="B57" s="1208"/>
      <c r="C57" s="851"/>
      <c r="D57" s="1209"/>
      <c r="E57" s="45"/>
      <c r="F57" s="45"/>
      <c r="G57" s="47"/>
    </row>
    <row r="58" spans="1:19">
      <c r="A58" s="57">
        <f t="shared" si="3"/>
        <v>35</v>
      </c>
      <c r="B58" s="850"/>
      <c r="C58" s="851"/>
      <c r="D58" s="852"/>
      <c r="E58" s="45"/>
      <c r="F58" s="45"/>
      <c r="G58" s="47"/>
    </row>
    <row r="59" spans="1:19">
      <c r="A59" s="57">
        <f t="shared" si="3"/>
        <v>36</v>
      </c>
      <c r="B59" s="850"/>
      <c r="C59" s="851"/>
      <c r="D59" s="852"/>
      <c r="E59" s="45"/>
      <c r="F59" s="48"/>
      <c r="G59" s="47"/>
    </row>
    <row r="60" spans="1:19">
      <c r="B60" s="46"/>
      <c r="C60" s="47"/>
      <c r="D60" s="53"/>
      <c r="E60" s="54"/>
      <c r="F60" s="53"/>
      <c r="G60" s="47"/>
    </row>
    <row r="61" spans="1:19" ht="15.75">
      <c r="A61" s="57">
        <f>A59+1</f>
        <v>37</v>
      </c>
      <c r="B61" s="49"/>
      <c r="C61" s="1118" t="s">
        <v>616</v>
      </c>
      <c r="D61" s="55">
        <f>SUM(D44:D60)</f>
        <v>143288.77108369904</v>
      </c>
      <c r="E61" s="55">
        <f>SUM(E44:E60)</f>
        <v>70459.432497043657</v>
      </c>
      <c r="F61" s="55">
        <f>SUM(F44:F60)</f>
        <v>2996.9701413386474</v>
      </c>
      <c r="G61" s="30"/>
    </row>
    <row r="62" spans="1:19" ht="12.75" customHeight="1">
      <c r="B62" s="39"/>
      <c r="C62" s="39"/>
      <c r="D62" s="39"/>
      <c r="E62" s="39"/>
      <c r="F62" s="39"/>
      <c r="G62" s="39"/>
    </row>
    <row r="63" spans="1:19" ht="15.75">
      <c r="B63" s="37"/>
      <c r="C63" s="100" t="s">
        <v>211</v>
      </c>
      <c r="D63" s="56"/>
      <c r="E63" s="56"/>
      <c r="F63" s="56"/>
      <c r="G63" s="37"/>
    </row>
    <row r="64" spans="1:19">
      <c r="A64" s="57">
        <f>+A61+1</f>
        <v>38</v>
      </c>
      <c r="B64" s="1208" t="s">
        <v>907</v>
      </c>
      <c r="C64" s="1346" t="s">
        <v>908</v>
      </c>
      <c r="D64" s="1209">
        <v>5318512.4973688545</v>
      </c>
      <c r="E64" s="1347">
        <v>5266972.36335913</v>
      </c>
      <c r="F64" s="1347">
        <v>51540.134009724767</v>
      </c>
      <c r="G64" s="29"/>
      <c r="H64" s="29"/>
      <c r="J64" s="31"/>
      <c r="K64" s="31"/>
    </row>
    <row r="65" spans="1:11">
      <c r="A65" s="57">
        <f>A64+1</f>
        <v>39</v>
      </c>
      <c r="B65" s="1208" t="s">
        <v>909</v>
      </c>
      <c r="C65" s="1346" t="s">
        <v>910</v>
      </c>
      <c r="D65" s="1209">
        <v>219920.58301727395</v>
      </c>
      <c r="E65" s="1347">
        <v>207062.56696606628</v>
      </c>
      <c r="F65" s="1347">
        <v>12858.016051207675</v>
      </c>
      <c r="G65" s="29"/>
      <c r="H65" s="29"/>
      <c r="J65" s="31"/>
      <c r="K65" s="31"/>
    </row>
    <row r="66" spans="1:11">
      <c r="A66" s="57">
        <f t="shared" ref="A66:A70" si="4">A65+1</f>
        <v>40</v>
      </c>
      <c r="B66" s="1208" t="s">
        <v>911</v>
      </c>
      <c r="C66" s="1346" t="s">
        <v>912</v>
      </c>
      <c r="D66" s="1209">
        <v>18308.965879457261</v>
      </c>
      <c r="E66" s="1347">
        <v>15725.131149319952</v>
      </c>
      <c r="F66" s="1347">
        <v>2583.8347301373083</v>
      </c>
      <c r="G66" s="29"/>
      <c r="H66" s="29"/>
      <c r="J66" s="31"/>
      <c r="K66" s="31"/>
    </row>
    <row r="67" spans="1:11">
      <c r="A67" s="57">
        <f t="shared" si="4"/>
        <v>41</v>
      </c>
      <c r="B67" s="1208" t="s">
        <v>913</v>
      </c>
      <c r="C67" s="1346" t="s">
        <v>1160</v>
      </c>
      <c r="D67" s="1209">
        <v>5961.0321311545695</v>
      </c>
      <c r="E67" s="1347">
        <v>5439.2898675826109</v>
      </c>
      <c r="F67" s="1347">
        <v>521.74226357195892</v>
      </c>
      <c r="G67" s="29"/>
      <c r="H67" s="29"/>
      <c r="J67" s="31"/>
      <c r="K67" s="31"/>
    </row>
    <row r="68" spans="1:11">
      <c r="A68" s="57">
        <f>A67+1</f>
        <v>42</v>
      </c>
      <c r="B68" s="1208" t="s">
        <v>914</v>
      </c>
      <c r="C68" s="1346" t="s">
        <v>915</v>
      </c>
      <c r="D68" s="1209">
        <v>1940885.1105403299</v>
      </c>
      <c r="E68" s="1347">
        <v>1194756.1125913621</v>
      </c>
      <c r="F68" s="1347">
        <v>746128.99794896774</v>
      </c>
      <c r="G68" s="29"/>
      <c r="H68" s="29"/>
      <c r="J68" s="31"/>
      <c r="K68" s="31"/>
    </row>
    <row r="69" spans="1:11">
      <c r="A69" s="57">
        <f t="shared" si="4"/>
        <v>43</v>
      </c>
      <c r="B69" s="1208"/>
      <c r="C69" s="1346"/>
      <c r="D69" s="1209"/>
      <c r="E69" s="1347"/>
      <c r="F69" s="1347"/>
      <c r="G69" s="39"/>
    </row>
    <row r="70" spans="1:11">
      <c r="A70" s="57">
        <f t="shared" si="4"/>
        <v>44</v>
      </c>
      <c r="B70" s="1208"/>
      <c r="C70" s="1346"/>
      <c r="D70" s="1209"/>
      <c r="E70" s="1347"/>
      <c r="F70" s="1347"/>
      <c r="G70" s="39"/>
    </row>
    <row r="71" spans="1:11">
      <c r="B71" s="308"/>
      <c r="C71" s="311"/>
      <c r="D71" s="312"/>
      <c r="E71" s="309"/>
      <c r="F71" s="309"/>
      <c r="G71" s="39"/>
    </row>
    <row r="72" spans="1:11" ht="15.75">
      <c r="A72" s="57">
        <f>1+A70</f>
        <v>45</v>
      </c>
      <c r="B72" s="39"/>
      <c r="C72" s="1118" t="s">
        <v>617</v>
      </c>
      <c r="D72" s="310">
        <f>SUM(D64:D70)</f>
        <v>7503588.1889370698</v>
      </c>
      <c r="E72" s="310">
        <f>SUM(E64:E70)</f>
        <v>6689955.4639334604</v>
      </c>
      <c r="F72" s="310">
        <f>SUM(F64:F70)</f>
        <v>813632.72500360943</v>
      </c>
      <c r="G72" s="30"/>
    </row>
    <row r="73" spans="1:11">
      <c r="B73" s="88"/>
      <c r="C73" s="21"/>
      <c r="D73" s="306"/>
      <c r="E73" s="21"/>
      <c r="F73" s="21"/>
      <c r="G73" s="21"/>
    </row>
    <row r="74" spans="1:11" ht="12.75">
      <c r="A74"/>
      <c r="B74"/>
      <c r="C74"/>
      <c r="D74"/>
      <c r="E74"/>
      <c r="F74"/>
    </row>
    <row r="75" spans="1:11" ht="12.75">
      <c r="A75"/>
      <c r="B75"/>
      <c r="C75"/>
      <c r="D75"/>
      <c r="E75"/>
      <c r="F75"/>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O248"/>
  <sheetViews>
    <sheetView view="pageBreakPreview" topLeftCell="A5" zoomScaleNormal="100" zoomScaleSheetLayoutView="100" workbookViewId="0">
      <selection activeCell="F35" sqref="F35"/>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886" t="s">
        <v>115</v>
      </c>
    </row>
    <row r="2" spans="1:15" ht="15.75">
      <c r="A2" s="886" t="s">
        <v>115</v>
      </c>
    </row>
    <row r="3" spans="1:15" ht="15">
      <c r="A3" s="1547" t="s">
        <v>388</v>
      </c>
      <c r="B3" s="1547"/>
      <c r="C3" s="1547"/>
      <c r="D3" s="1547"/>
      <c r="E3" s="1547"/>
      <c r="F3" s="1547"/>
      <c r="G3" s="1547"/>
      <c r="H3" s="1547"/>
    </row>
    <row r="4" spans="1:15" ht="15">
      <c r="A4" s="1548" t="str">
        <f>"Cost of Service Formula Rate Using Actual/Projected FF1 Balances"</f>
        <v>Cost of Service Formula Rate Using Actual/Projected FF1 Balances</v>
      </c>
      <c r="B4" s="1548"/>
      <c r="C4" s="1548"/>
      <c r="D4" s="1548"/>
      <c r="E4" s="1548"/>
      <c r="F4" s="1548"/>
      <c r="G4" s="1548"/>
      <c r="H4" s="1548"/>
    </row>
    <row r="5" spans="1:15" ht="15">
      <c r="A5" s="1548" t="s">
        <v>529</v>
      </c>
      <c r="B5" s="1548"/>
      <c r="C5" s="1548"/>
      <c r="D5" s="1548"/>
      <c r="E5" s="1548"/>
      <c r="F5" s="1548"/>
      <c r="G5" s="1548"/>
      <c r="H5" s="1548"/>
    </row>
    <row r="6" spans="1:15" ht="15">
      <c r="A6" s="1559" t="str">
        <f>TCOS!F9</f>
        <v xml:space="preserve">Indiana Michigan Power Company </v>
      </c>
      <c r="B6" s="1559"/>
      <c r="C6" s="1559"/>
      <c r="D6" s="1559"/>
      <c r="E6" s="1559"/>
      <c r="F6" s="1559"/>
      <c r="G6" s="1559"/>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7" t="s">
        <v>1142</v>
      </c>
      <c r="C9" s="38"/>
      <c r="D9" s="41"/>
      <c r="E9" s="854">
        <v>4.9000000000000002E-2</v>
      </c>
      <c r="F9" s="2"/>
      <c r="G9" s="23"/>
      <c r="H9" s="23"/>
      <c r="L9" s="22"/>
    </row>
    <row r="10" spans="1:15" ht="15">
      <c r="A10" s="22"/>
      <c r="B10" s="17" t="s">
        <v>1195</v>
      </c>
      <c r="C10" s="38"/>
      <c r="D10" s="38"/>
      <c r="E10" s="855">
        <v>0.78100000000000003</v>
      </c>
      <c r="F10" s="2"/>
      <c r="G10" s="23"/>
      <c r="H10" s="23"/>
      <c r="L10" s="22"/>
    </row>
    <row r="11" spans="1:15" ht="15">
      <c r="A11" s="22"/>
      <c r="B11" s="17" t="s">
        <v>449</v>
      </c>
      <c r="C11" s="38"/>
      <c r="D11" s="38"/>
      <c r="E11" s="318"/>
      <c r="F11" s="42">
        <f>ROUND(E9*E10,6)</f>
        <v>3.8268999999999997E-2</v>
      </c>
      <c r="G11" s="23"/>
      <c r="L11" s="22"/>
    </row>
    <row r="12" spans="1:15" ht="15">
      <c r="A12" s="22"/>
      <c r="B12" s="17"/>
      <c r="C12" s="38"/>
      <c r="D12" s="38"/>
      <c r="E12" s="318"/>
      <c r="F12" s="42"/>
      <c r="G12" s="23"/>
      <c r="L12" s="22"/>
    </row>
    <row r="13" spans="1:15" ht="15">
      <c r="A13" s="22"/>
      <c r="B13" s="17" t="s">
        <v>1143</v>
      </c>
      <c r="C13" s="38"/>
      <c r="D13" s="41"/>
      <c r="E13" s="854">
        <v>0.06</v>
      </c>
      <c r="F13" s="2"/>
      <c r="G13" s="23"/>
      <c r="L13" s="22"/>
    </row>
    <row r="14" spans="1:15" ht="15">
      <c r="A14" s="22"/>
      <c r="B14" s="17" t="s">
        <v>1195</v>
      </c>
      <c r="C14" s="38"/>
      <c r="D14" s="38"/>
      <c r="E14" s="855">
        <v>0.16500000000000001</v>
      </c>
      <c r="F14" s="2"/>
      <c r="G14" s="23"/>
      <c r="L14" s="22"/>
    </row>
    <row r="15" spans="1:15" ht="15">
      <c r="A15" s="22"/>
      <c r="B15" s="17" t="s">
        <v>449</v>
      </c>
      <c r="C15" s="38"/>
      <c r="D15" s="38"/>
      <c r="E15" s="318"/>
      <c r="F15" s="42">
        <f>ROUND(E13*E14,6)</f>
        <v>9.9000000000000008E-3</v>
      </c>
      <c r="G15" s="23"/>
      <c r="L15" s="22"/>
    </row>
    <row r="16" spans="1:15" ht="15">
      <c r="A16" s="22"/>
      <c r="B16" s="17"/>
      <c r="C16" s="38"/>
      <c r="D16" s="38"/>
      <c r="E16" s="318"/>
      <c r="F16" s="42"/>
      <c r="G16" s="23"/>
      <c r="L16" s="22"/>
    </row>
    <row r="17" spans="1:12" ht="15">
      <c r="A17" s="22"/>
      <c r="B17" s="17" t="s">
        <v>1144</v>
      </c>
      <c r="C17" s="38"/>
      <c r="D17" s="41"/>
      <c r="E17" s="854">
        <v>6.5000000000000002E-2</v>
      </c>
      <c r="F17" s="2"/>
      <c r="G17" s="23"/>
      <c r="L17" s="22"/>
    </row>
    <row r="18" spans="1:12" ht="15">
      <c r="A18" s="22"/>
      <c r="B18" s="17" t="s">
        <v>1195</v>
      </c>
      <c r="C18" s="38"/>
      <c r="D18" s="38"/>
      <c r="E18" s="855">
        <v>1.4999999999999999E-2</v>
      </c>
      <c r="F18" s="2"/>
      <c r="G18" s="23"/>
      <c r="L18" s="22"/>
    </row>
    <row r="19" spans="1:12" ht="15">
      <c r="A19" s="22"/>
      <c r="B19" s="17" t="s">
        <v>449</v>
      </c>
      <c r="C19" s="38"/>
      <c r="D19" s="38"/>
      <c r="E19" s="318"/>
      <c r="F19" s="42">
        <f>ROUND(E17*E18,6)</f>
        <v>9.7499999999999996E-4</v>
      </c>
      <c r="G19" s="23"/>
      <c r="L19" s="22"/>
    </row>
    <row r="20" spans="1:12" ht="15">
      <c r="A20" s="22"/>
      <c r="B20" s="17"/>
      <c r="C20" s="38"/>
      <c r="D20" s="38"/>
      <c r="E20" s="318"/>
      <c r="F20" s="42"/>
      <c r="G20" s="23"/>
      <c r="L20" s="22"/>
    </row>
    <row r="21" spans="1:12" ht="15">
      <c r="A21" s="22"/>
      <c r="B21" s="17" t="s">
        <v>916</v>
      </c>
      <c r="C21" s="38"/>
      <c r="D21" s="41"/>
      <c r="E21" s="854">
        <v>0</v>
      </c>
      <c r="F21" s="43"/>
      <c r="G21" s="23"/>
      <c r="L21" s="22"/>
    </row>
    <row r="22" spans="1:12" ht="15">
      <c r="A22" s="22"/>
      <c r="B22" s="17" t="s">
        <v>1195</v>
      </c>
      <c r="C22" s="38"/>
      <c r="D22" s="38"/>
      <c r="E22" s="855">
        <v>0</v>
      </c>
      <c r="G22" s="23"/>
      <c r="L22" s="22"/>
    </row>
    <row r="23" spans="1:12" ht="15">
      <c r="A23" s="22"/>
      <c r="B23" s="17" t="s">
        <v>449</v>
      </c>
      <c r="C23" s="38"/>
      <c r="D23" s="38"/>
      <c r="E23" s="318"/>
      <c r="F23" s="42">
        <f>ROUND(E21*E22,6)</f>
        <v>0</v>
      </c>
      <c r="G23" s="23"/>
      <c r="L23" s="22"/>
    </row>
    <row r="24" spans="1:12" ht="15">
      <c r="A24" s="22"/>
      <c r="B24" s="17"/>
      <c r="C24" s="38"/>
      <c r="D24" s="41"/>
      <c r="G24" s="23"/>
      <c r="L24" s="22"/>
    </row>
    <row r="25" spans="1:12" ht="15">
      <c r="A25" s="22"/>
      <c r="B25" s="17" t="s">
        <v>1145</v>
      </c>
      <c r="C25" s="38"/>
      <c r="D25" s="38"/>
      <c r="E25" s="854">
        <v>0.05</v>
      </c>
      <c r="F25" s="2"/>
      <c r="G25" s="23"/>
      <c r="L25" s="22"/>
    </row>
    <row r="26" spans="1:12" ht="15">
      <c r="A26" s="22"/>
      <c r="B26" s="17" t="s">
        <v>1195</v>
      </c>
      <c r="C26" s="38"/>
      <c r="D26" s="38"/>
      <c r="E26" s="855">
        <v>8.9999999999999993E-3</v>
      </c>
      <c r="F26" s="2"/>
      <c r="G26" s="23"/>
      <c r="L26" s="22"/>
    </row>
    <row r="27" spans="1:12" ht="15">
      <c r="A27" s="22"/>
      <c r="B27" s="17" t="s">
        <v>449</v>
      </c>
      <c r="C27" s="38"/>
      <c r="D27" s="38"/>
      <c r="E27" s="318"/>
      <c r="F27" s="42">
        <f>ROUND(E25*E26,6)</f>
        <v>4.4999999999999999E-4</v>
      </c>
      <c r="G27" s="23"/>
      <c r="L27" s="22"/>
    </row>
    <row r="28" spans="1:12" ht="15">
      <c r="A28" s="22"/>
      <c r="B28" s="17"/>
      <c r="C28" s="38"/>
      <c r="D28" s="41"/>
      <c r="E28" s="318"/>
      <c r="F28" s="42"/>
      <c r="G28" s="23"/>
      <c r="L28" s="22"/>
    </row>
    <row r="29" spans="1:12" ht="15">
      <c r="A29" s="22"/>
      <c r="B29" s="17" t="s">
        <v>917</v>
      </c>
      <c r="C29" s="38"/>
      <c r="D29" s="38"/>
      <c r="E29" s="854">
        <v>0.04</v>
      </c>
      <c r="F29" s="2"/>
      <c r="G29" s="23"/>
      <c r="L29" s="22"/>
    </row>
    <row r="30" spans="1:12" ht="15">
      <c r="A30" s="22"/>
      <c r="B30" s="17" t="s">
        <v>1195</v>
      </c>
      <c r="C30" s="38"/>
      <c r="D30" s="38"/>
      <c r="E30" s="855">
        <v>0</v>
      </c>
      <c r="F30" s="2"/>
      <c r="G30" s="23"/>
      <c r="L30" s="22"/>
    </row>
    <row r="31" spans="1:12" ht="15">
      <c r="B31" s="17" t="s">
        <v>449</v>
      </c>
      <c r="E31" s="20"/>
      <c r="F31" s="42">
        <f>ROUND(E29*E30,6)</f>
        <v>0</v>
      </c>
    </row>
    <row r="32" spans="1:12" ht="15">
      <c r="A32" s="22"/>
      <c r="B32" s="17"/>
      <c r="C32" s="38"/>
      <c r="D32" s="38"/>
      <c r="E32" s="38"/>
      <c r="F32" s="43"/>
      <c r="G32" s="23"/>
      <c r="L32" s="22"/>
    </row>
    <row r="33" spans="1:12" ht="15">
      <c r="A33" s="22"/>
      <c r="B33" s="17" t="s">
        <v>1146</v>
      </c>
      <c r="C33" s="20"/>
      <c r="D33" s="20"/>
      <c r="E33" s="854">
        <v>9.5000000000000001E-2</v>
      </c>
      <c r="F33" s="2"/>
      <c r="G33" s="23"/>
      <c r="L33" s="22"/>
    </row>
    <row r="34" spans="1:12" ht="15">
      <c r="A34" s="22"/>
      <c r="B34" s="17" t="s">
        <v>1195</v>
      </c>
      <c r="E34" s="855">
        <v>6.0000000000000001E-3</v>
      </c>
      <c r="F34" s="2"/>
      <c r="G34" s="21"/>
      <c r="L34" s="22"/>
    </row>
    <row r="35" spans="1:12" ht="15">
      <c r="A35" s="22"/>
      <c r="B35" s="17" t="s">
        <v>449</v>
      </c>
      <c r="E35" s="20"/>
      <c r="F35" s="42">
        <f>ROUND(E33*E34,6)</f>
        <v>5.6999999999999998E-4</v>
      </c>
      <c r="G35" s="21"/>
      <c r="H35" s="21"/>
      <c r="L35" s="22"/>
    </row>
    <row r="36" spans="1:12">
      <c r="A36" s="22"/>
      <c r="G36" s="21"/>
      <c r="H36" s="21"/>
      <c r="L36" s="22"/>
    </row>
    <row r="37" spans="1:12" ht="21.75" customHeight="1" thickBot="1">
      <c r="A37" s="22"/>
      <c r="B37" s="20" t="s">
        <v>204</v>
      </c>
      <c r="C37" s="20"/>
      <c r="D37" s="20"/>
      <c r="E37" s="20"/>
      <c r="F37" s="138">
        <f>SUM(F11:F35)</f>
        <v>5.0163999999999993E-2</v>
      </c>
      <c r="G37" s="21"/>
      <c r="H37" s="21"/>
      <c r="L37" s="22"/>
    </row>
    <row r="38" spans="1:12" ht="21.75" customHeight="1" thickTop="1">
      <c r="A38" s="2"/>
      <c r="B38" s="1592" t="s">
        <v>115</v>
      </c>
      <c r="C38" s="1592"/>
      <c r="D38" s="1592"/>
      <c r="E38" s="1592"/>
      <c r="F38" s="1592"/>
      <c r="G38" s="1592"/>
      <c r="H38" s="21"/>
      <c r="I38" s="19"/>
      <c r="L38" s="21"/>
    </row>
    <row r="39" spans="1:12" ht="12.75" customHeight="1">
      <c r="A39" s="21"/>
      <c r="B39" s="1592"/>
      <c r="C39" s="1592"/>
      <c r="D39" s="1592"/>
      <c r="E39" s="1592"/>
      <c r="F39" s="1592"/>
      <c r="G39" s="1592"/>
      <c r="H39" s="21"/>
      <c r="L39" s="21"/>
    </row>
    <row r="40" spans="1:12" ht="17.25" customHeight="1">
      <c r="A40" s="21"/>
      <c r="B40" s="1592"/>
      <c r="C40" s="1592"/>
      <c r="D40" s="1592"/>
      <c r="E40" s="1592"/>
      <c r="F40" s="1592"/>
      <c r="G40" s="1592"/>
      <c r="H40" s="21"/>
      <c r="I40" s="21"/>
      <c r="L40" s="21"/>
    </row>
    <row r="41" spans="1:12" ht="18" customHeight="1">
      <c r="A41" s="5" t="s">
        <v>500</v>
      </c>
      <c r="B41" s="5" t="s">
        <v>76</v>
      </c>
      <c r="C41" s="5"/>
      <c r="D41" s="5"/>
      <c r="E41" s="5"/>
      <c r="F41" s="5"/>
      <c r="G41" s="5"/>
      <c r="H41" s="21"/>
      <c r="I41" s="21"/>
      <c r="L41" s="21"/>
    </row>
    <row r="248" spans="2:2">
      <c r="B248" t="s">
        <v>115</v>
      </c>
    </row>
  </sheetData>
  <mergeCells count="5">
    <mergeCell ref="B38:G40"/>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C76"/>
  <sheetViews>
    <sheetView view="pageBreakPreview" topLeftCell="A16" zoomScale="60" zoomScaleNormal="55" workbookViewId="0">
      <selection activeCell="E51" sqref="E51"/>
    </sheetView>
  </sheetViews>
  <sheetFormatPr defaultRowHeight="15"/>
  <cols>
    <col min="1" max="1" width="7.28515625" style="126" customWidth="1"/>
    <col min="2" max="2" width="1.7109375" style="127" customWidth="1"/>
    <col min="3" max="3" width="62.42578125" style="127" customWidth="1"/>
    <col min="4" max="4" width="19.140625" style="127" customWidth="1"/>
    <col min="5" max="5" width="22.7109375" style="121" bestFit="1" customWidth="1"/>
    <col min="6" max="6" width="1.7109375" style="112" customWidth="1"/>
    <col min="7" max="7" width="21.85546875" style="112" customWidth="1"/>
    <col min="8" max="8" width="1.7109375" style="112" customWidth="1"/>
    <col min="9" max="9" width="21.42578125" style="112" customWidth="1"/>
    <col min="10" max="10" width="1.7109375" style="112" customWidth="1"/>
    <col min="11" max="11" width="19.42578125" style="112" bestFit="1" customWidth="1"/>
    <col min="12" max="12" width="3.42578125" style="112" customWidth="1"/>
    <col min="13" max="13" width="22.5703125" style="112" customWidth="1"/>
    <col min="14" max="14" width="1.28515625" style="112" customWidth="1"/>
    <col min="15" max="15" width="22.140625" style="235" customWidth="1"/>
    <col min="16" max="16384" width="9.140625" style="112"/>
  </cols>
  <sheetData>
    <row r="1" spans="1:29" ht="15.75">
      <c r="A1" s="886" t="s">
        <v>115</v>
      </c>
    </row>
    <row r="2" spans="1:29" ht="15.75">
      <c r="A2" s="886" t="s">
        <v>115</v>
      </c>
    </row>
    <row r="3" spans="1:29" ht="18.75" customHeight="1">
      <c r="A3" s="1547" t="s">
        <v>388</v>
      </c>
      <c r="B3" s="1547"/>
      <c r="C3" s="1547"/>
      <c r="D3" s="1547"/>
      <c r="E3" s="1547"/>
      <c r="F3" s="1547"/>
      <c r="G3" s="1547"/>
      <c r="H3" s="1547"/>
      <c r="I3" s="1547"/>
      <c r="J3" s="1547"/>
      <c r="K3" s="1547"/>
      <c r="L3" s="1547"/>
      <c r="M3" s="1547"/>
    </row>
    <row r="4" spans="1:29" ht="18.75" customHeight="1">
      <c r="A4" s="1548" t="str">
        <f>"Cost of Service Formula Rate Using Actual/Projected FF1 Balances"</f>
        <v>Cost of Service Formula Rate Using Actual/Projected FF1 Balances</v>
      </c>
      <c r="B4" s="1548"/>
      <c r="C4" s="1548"/>
      <c r="D4" s="1548"/>
      <c r="E4" s="1548"/>
      <c r="F4" s="1548"/>
      <c r="G4" s="1548"/>
      <c r="H4" s="1548"/>
      <c r="I4" s="1548"/>
      <c r="J4" s="1548"/>
      <c r="K4" s="1548"/>
      <c r="L4" s="1548"/>
      <c r="M4" s="1548"/>
    </row>
    <row r="5" spans="1:29" ht="18.75" customHeight="1">
      <c r="A5" s="1548" t="s">
        <v>239</v>
      </c>
      <c r="B5" s="1548"/>
      <c r="C5" s="1548"/>
      <c r="D5" s="1548"/>
      <c r="E5" s="1548"/>
      <c r="F5" s="1548"/>
      <c r="G5" s="1548"/>
      <c r="H5" s="1548"/>
      <c r="I5" s="1548"/>
      <c r="J5" s="1548"/>
      <c r="K5" s="1548"/>
      <c r="L5" s="1548"/>
      <c r="M5" s="1548"/>
    </row>
    <row r="6" spans="1:29" ht="18.75" customHeight="1">
      <c r="A6" s="1555" t="str">
        <f>+TCOS!F9</f>
        <v xml:space="preserve">Indiana Michigan Power Company </v>
      </c>
      <c r="B6" s="1555"/>
      <c r="C6" s="1555"/>
      <c r="D6" s="1555"/>
      <c r="E6" s="1555"/>
      <c r="F6" s="1555"/>
      <c r="G6" s="1555"/>
      <c r="H6" s="1555"/>
      <c r="I6" s="1555"/>
      <c r="J6" s="1555"/>
      <c r="K6" s="1555"/>
      <c r="L6" s="1555"/>
      <c r="M6" s="1555"/>
    </row>
    <row r="7" spans="1:29" ht="18" customHeight="1">
      <c r="A7" s="1559"/>
      <c r="B7" s="1559"/>
      <c r="C7" s="1559"/>
      <c r="D7" s="1559"/>
      <c r="E7" s="1559"/>
      <c r="F7" s="1559"/>
      <c r="G7" s="1559"/>
      <c r="H7" s="1559"/>
      <c r="I7" s="1559"/>
      <c r="J7" s="1559"/>
      <c r="K7" s="1559"/>
      <c r="L7" s="1559"/>
      <c r="M7" s="1559"/>
    </row>
    <row r="8" spans="1:29" ht="18" customHeight="1">
      <c r="A8" s="1591"/>
      <c r="B8" s="1591"/>
      <c r="C8" s="1591"/>
      <c r="D8" s="1591"/>
      <c r="E8" s="1591"/>
      <c r="F8" s="1591"/>
      <c r="G8" s="1591"/>
      <c r="H8" s="1591"/>
      <c r="I8" s="1591"/>
      <c r="J8" s="1591"/>
      <c r="K8" s="1591"/>
      <c r="L8" s="1591"/>
      <c r="M8" s="1591"/>
    </row>
    <row r="9" spans="1:29" ht="18" customHeight="1">
      <c r="A9" s="169"/>
      <c r="B9" s="169"/>
      <c r="C9" s="169"/>
      <c r="D9" s="169"/>
      <c r="E9" s="169"/>
      <c r="F9" s="169"/>
      <c r="G9" s="169"/>
      <c r="H9" s="169"/>
      <c r="I9" s="169"/>
      <c r="J9" s="169"/>
      <c r="K9" s="169"/>
      <c r="L9" s="169"/>
      <c r="M9" s="169"/>
    </row>
    <row r="10" spans="1:29" ht="19.5" customHeight="1">
      <c r="A10" s="114"/>
      <c r="B10" s="115"/>
      <c r="C10" s="37" t="s">
        <v>163</v>
      </c>
      <c r="E10" s="37" t="s">
        <v>164</v>
      </c>
      <c r="G10" s="37" t="s">
        <v>165</v>
      </c>
      <c r="I10" s="37" t="s">
        <v>166</v>
      </c>
      <c r="K10" s="37" t="s">
        <v>85</v>
      </c>
      <c r="M10" s="37" t="s">
        <v>86</v>
      </c>
    </row>
    <row r="11" spans="1:29" ht="18">
      <c r="A11" s="211"/>
      <c r="B11" s="212"/>
      <c r="C11" s="212"/>
      <c r="D11" s="212"/>
      <c r="E11"/>
      <c r="F11"/>
      <c r="G11"/>
      <c r="H11"/>
      <c r="I11"/>
      <c r="J11"/>
      <c r="K11"/>
      <c r="L11"/>
      <c r="M11"/>
      <c r="Q11" s="40"/>
      <c r="R11" s="40"/>
      <c r="S11" s="40"/>
      <c r="T11" s="40"/>
      <c r="U11" s="40"/>
      <c r="V11" s="40"/>
      <c r="W11" s="40"/>
      <c r="X11" s="40"/>
      <c r="Y11" s="40"/>
      <c r="Z11" s="40"/>
      <c r="AA11" s="40"/>
      <c r="AB11" s="40"/>
      <c r="AC11" s="40"/>
    </row>
    <row r="12" spans="1:29" ht="19.5">
      <c r="A12" s="211" t="s">
        <v>170</v>
      </c>
      <c r="B12" s="212"/>
      <c r="C12" s="212"/>
      <c r="D12" s="212"/>
      <c r="E12" s="213" t="s">
        <v>119</v>
      </c>
      <c r="F12" s="211"/>
      <c r="G12" s="211"/>
      <c r="H12" s="211"/>
      <c r="I12" s="211"/>
      <c r="J12" s="211"/>
      <c r="K12" s="120"/>
      <c r="L12" s="120"/>
      <c r="M12" s="214"/>
    </row>
    <row r="13" spans="1:29" ht="19.5">
      <c r="A13" s="215" t="s">
        <v>118</v>
      </c>
      <c r="B13" s="212"/>
      <c r="C13" s="215" t="s">
        <v>307</v>
      </c>
      <c r="D13" s="212"/>
      <c r="E13" s="216" t="s">
        <v>184</v>
      </c>
      <c r="F13" s="211"/>
      <c r="G13" s="215" t="s">
        <v>310</v>
      </c>
      <c r="H13" s="211"/>
      <c r="I13" s="215" t="s">
        <v>162</v>
      </c>
      <c r="J13" s="211"/>
      <c r="K13" s="217" t="s">
        <v>182</v>
      </c>
      <c r="L13" s="218"/>
      <c r="M13" s="217" t="s">
        <v>311</v>
      </c>
    </row>
    <row r="14" spans="1:29" ht="19.5">
      <c r="A14" s="116"/>
      <c r="B14" s="115"/>
      <c r="C14" s="111"/>
      <c r="D14" s="111"/>
      <c r="E14" s="111" t="s">
        <v>69</v>
      </c>
      <c r="F14" s="111"/>
      <c r="G14" s="111"/>
      <c r="H14" s="111"/>
      <c r="I14" s="111"/>
      <c r="J14" s="111"/>
      <c r="K14" s="110"/>
      <c r="L14" s="110"/>
    </row>
    <row r="15" spans="1:29" ht="19.5">
      <c r="A15" s="114"/>
      <c r="B15" s="115"/>
      <c r="C15" s="115"/>
      <c r="D15" s="115"/>
      <c r="E15" s="117"/>
      <c r="F15" s="113"/>
      <c r="G15" s="113"/>
      <c r="H15" s="113"/>
      <c r="I15" s="109"/>
      <c r="J15" s="113"/>
      <c r="K15" s="110"/>
      <c r="L15" s="110"/>
    </row>
    <row r="16" spans="1:29" ht="19.5">
      <c r="A16" s="114">
        <v>1</v>
      </c>
      <c r="B16" s="115"/>
      <c r="C16" s="118" t="s">
        <v>324</v>
      </c>
      <c r="D16" s="115"/>
      <c r="E16" s="110"/>
      <c r="F16" s="110"/>
      <c r="G16" s="137"/>
      <c r="H16" s="137"/>
      <c r="I16" s="137"/>
      <c r="J16" s="137"/>
      <c r="K16" s="137"/>
      <c r="L16" s="137"/>
      <c r="M16" s="119"/>
    </row>
    <row r="17" spans="1:15" ht="19.5">
      <c r="A17" s="114">
        <f>+A16+1</f>
        <v>2</v>
      </c>
      <c r="B17" s="115"/>
      <c r="C17" s="110" t="s">
        <v>308</v>
      </c>
      <c r="D17" s="115"/>
      <c r="E17" s="285">
        <f>'WS H-1-Detail of Tax Amts'!E15</f>
        <v>0</v>
      </c>
      <c r="F17" s="110"/>
      <c r="G17" s="137"/>
      <c r="H17" s="137"/>
      <c r="I17" s="137"/>
      <c r="J17" s="137"/>
      <c r="K17" s="137"/>
      <c r="L17" s="137"/>
      <c r="M17" s="119">
        <f>+E17</f>
        <v>0</v>
      </c>
    </row>
    <row r="18" spans="1:15" ht="19.5">
      <c r="A18" s="114"/>
      <c r="B18" s="115"/>
      <c r="C18" s="120"/>
      <c r="D18" s="115"/>
      <c r="E18" s="284"/>
      <c r="F18" s="110"/>
      <c r="G18" s="137"/>
      <c r="H18" s="137"/>
      <c r="I18" s="137"/>
      <c r="J18" s="137"/>
      <c r="K18" s="137"/>
      <c r="L18" s="137"/>
      <c r="M18" s="119"/>
    </row>
    <row r="19" spans="1:15" ht="18">
      <c r="A19" s="1075">
        <f>+A17+1</f>
        <v>3</v>
      </c>
      <c r="B19" s="1076"/>
      <c r="C19" s="1077" t="s">
        <v>325</v>
      </c>
      <c r="D19" s="1076"/>
      <c r="E19" s="1078"/>
      <c r="F19" s="1079"/>
      <c r="G19" s="1080"/>
      <c r="H19" s="1073"/>
      <c r="I19" s="1073"/>
      <c r="J19" s="1073"/>
      <c r="K19" s="1073"/>
      <c r="L19" s="1073"/>
      <c r="M19" s="1074"/>
    </row>
    <row r="20" spans="1:15" ht="18">
      <c r="A20" s="1075">
        <f>+A19+1</f>
        <v>4</v>
      </c>
      <c r="B20" s="1076"/>
      <c r="C20" s="1079" t="s">
        <v>920</v>
      </c>
      <c r="D20" s="1079"/>
      <c r="E20" s="1081">
        <f>'WS H-1-Detail of Tax Amts'!E27</f>
        <v>51875710.353388891</v>
      </c>
      <c r="F20" s="1079"/>
      <c r="G20" s="1080">
        <f>+E20</f>
        <v>51875710.353388891</v>
      </c>
      <c r="H20" s="1073"/>
      <c r="I20" s="1073"/>
      <c r="J20" s="1073"/>
      <c r="K20" s="1073"/>
      <c r="L20" s="1073"/>
      <c r="M20" s="1074"/>
      <c r="O20"/>
    </row>
    <row r="21" spans="1:15" ht="18">
      <c r="A21" s="1075">
        <f>+A20+1</f>
        <v>5</v>
      </c>
      <c r="B21" s="1076"/>
      <c r="C21" s="1079" t="s">
        <v>921</v>
      </c>
      <c r="D21" s="1079"/>
      <c r="E21" s="1081">
        <f>'WS H-1-Detail of Tax Amts'!E33</f>
        <v>19112294.541019194</v>
      </c>
      <c r="F21" s="1079"/>
      <c r="G21" s="1080">
        <f>+E21</f>
        <v>19112294.541019194</v>
      </c>
      <c r="H21" s="1073"/>
      <c r="I21" s="1073"/>
      <c r="J21" s="1073"/>
      <c r="K21" s="1073"/>
      <c r="L21" s="1073"/>
      <c r="M21" s="1074"/>
      <c r="O21"/>
    </row>
    <row r="22" spans="1:15" ht="18">
      <c r="A22" s="1075">
        <f>+A21+1</f>
        <v>6</v>
      </c>
      <c r="B22" s="1076"/>
      <c r="C22" s="1079" t="s">
        <v>464</v>
      </c>
      <c r="D22" s="1081"/>
      <c r="E22" s="1081">
        <f>'WS H-1-Detail of Tax Amts'!E44</f>
        <v>2851.0055919006004</v>
      </c>
      <c r="F22" s="1079"/>
      <c r="G22" s="1080">
        <f>+E22</f>
        <v>2851.0055919006004</v>
      </c>
      <c r="H22" s="1073"/>
      <c r="I22" s="1073"/>
      <c r="J22" s="1073"/>
      <c r="K22" s="1073"/>
      <c r="L22" s="1073"/>
      <c r="M22" s="1074"/>
      <c r="O22"/>
    </row>
    <row r="23" spans="1:15" ht="19.5">
      <c r="A23" s="114"/>
      <c r="B23" s="115"/>
      <c r="C23" s="120"/>
      <c r="D23" s="115"/>
      <c r="E23" s="284"/>
      <c r="F23" s="110"/>
      <c r="G23" s="137"/>
      <c r="H23" s="137"/>
      <c r="I23" s="137"/>
      <c r="J23" s="137"/>
      <c r="K23" s="137"/>
      <c r="L23" s="137"/>
      <c r="M23" s="119"/>
      <c r="O23" s="236"/>
    </row>
    <row r="24" spans="1:15" ht="19.5">
      <c r="A24" s="114">
        <f>A22+1</f>
        <v>7</v>
      </c>
      <c r="B24" s="115"/>
      <c r="C24" s="118" t="s">
        <v>326</v>
      </c>
      <c r="D24" s="115"/>
      <c r="E24" s="284"/>
      <c r="F24" s="110"/>
      <c r="G24" s="137"/>
      <c r="H24" s="137"/>
      <c r="I24" s="137"/>
      <c r="J24" s="137"/>
      <c r="K24" s="137"/>
      <c r="L24" s="137"/>
      <c r="M24" s="119"/>
      <c r="O24" s="236"/>
    </row>
    <row r="25" spans="1:15" ht="19.5">
      <c r="A25" s="114">
        <f>+A24+1</f>
        <v>8</v>
      </c>
      <c r="B25" s="115"/>
      <c r="C25" s="113" t="s">
        <v>322</v>
      </c>
      <c r="D25" s="115"/>
      <c r="E25" s="285">
        <f>'WS H-1-Detail of Tax Amts'!E61</f>
        <v>13898455.604563329</v>
      </c>
      <c r="F25" s="110"/>
      <c r="G25" s="137"/>
      <c r="H25" s="137"/>
      <c r="I25" s="137">
        <f>+E25</f>
        <v>13898455.604563329</v>
      </c>
      <c r="J25" s="137"/>
      <c r="K25" s="137"/>
      <c r="L25" s="137"/>
      <c r="M25" s="119"/>
      <c r="O25" s="236"/>
    </row>
    <row r="26" spans="1:15" ht="19.5">
      <c r="A26" s="114">
        <f>+A25+1</f>
        <v>9</v>
      </c>
      <c r="B26" s="115"/>
      <c r="C26" s="113" t="s">
        <v>315</v>
      </c>
      <c r="D26" s="115"/>
      <c r="E26" s="285">
        <f>'WS H-1-Detail of Tax Amts'!E63</f>
        <v>61155.615265996596</v>
      </c>
      <c r="F26" s="110"/>
      <c r="G26" s="110"/>
      <c r="H26" s="110"/>
      <c r="I26" s="119">
        <f>+E26</f>
        <v>61155.615265996596</v>
      </c>
      <c r="J26" s="113"/>
      <c r="K26" s="110"/>
      <c r="L26" s="110"/>
      <c r="M26" s="119"/>
    </row>
    <row r="27" spans="1:15" ht="19.5">
      <c r="A27" s="114">
        <f>+A26+1</f>
        <v>10</v>
      </c>
      <c r="B27" s="115"/>
      <c r="C27" s="113" t="s">
        <v>316</v>
      </c>
      <c r="D27" s="115"/>
      <c r="E27" s="285">
        <f>'WS H-1-Detail of Tax Amts'!E65</f>
        <v>283550.99456528598</v>
      </c>
      <c r="F27" s="110"/>
      <c r="G27" s="110"/>
      <c r="H27" s="110"/>
      <c r="I27" s="119">
        <f>+E27</f>
        <v>283550.99456528598</v>
      </c>
      <c r="J27" s="117"/>
      <c r="K27" s="110"/>
      <c r="L27" s="110"/>
      <c r="M27" s="119"/>
    </row>
    <row r="28" spans="1:15" ht="19.5">
      <c r="A28" s="114" t="s">
        <v>115</v>
      </c>
      <c r="B28" s="115"/>
      <c r="C28" s="110"/>
      <c r="D28" s="115"/>
      <c r="E28" s="284"/>
      <c r="F28" s="110"/>
      <c r="G28" s="110"/>
      <c r="H28" s="110"/>
      <c r="I28" s="129"/>
      <c r="J28" s="130"/>
      <c r="K28" s="133"/>
      <c r="L28" s="133"/>
      <c r="M28" s="119"/>
    </row>
    <row r="29" spans="1:15" ht="19.5">
      <c r="A29" s="114">
        <f>A27+1</f>
        <v>11</v>
      </c>
      <c r="B29" s="115"/>
      <c r="C29" s="118" t="s">
        <v>441</v>
      </c>
      <c r="D29" s="115"/>
      <c r="E29" s="284"/>
      <c r="F29" s="110"/>
      <c r="G29" s="110"/>
      <c r="H29" s="110"/>
      <c r="I29" s="129"/>
      <c r="J29" s="130"/>
      <c r="K29" s="133"/>
      <c r="L29" s="133"/>
      <c r="M29" s="119"/>
    </row>
    <row r="30" spans="1:15" ht="19.5">
      <c r="A30" s="114">
        <f>A29+1</f>
        <v>12</v>
      </c>
      <c r="B30" s="115"/>
      <c r="C30" s="125" t="s">
        <v>442</v>
      </c>
      <c r="D30" s="238"/>
      <c r="E30" s="285">
        <f>'WS H-1-Detail of Tax Amts'!E71</f>
        <v>0</v>
      </c>
      <c r="F30" s="125"/>
      <c r="G30" s="110"/>
      <c r="H30" s="110"/>
      <c r="I30" s="129"/>
      <c r="J30" s="130"/>
      <c r="K30" s="133"/>
      <c r="L30" s="133"/>
      <c r="M30" s="119">
        <f>E30</f>
        <v>0</v>
      </c>
    </row>
    <row r="31" spans="1:15" ht="19.5">
      <c r="A31" s="114"/>
      <c r="B31" s="115"/>
      <c r="C31" s="110"/>
      <c r="D31" s="115"/>
      <c r="E31" s="284"/>
      <c r="F31" s="110"/>
      <c r="G31" s="110"/>
      <c r="H31" s="110"/>
      <c r="I31" s="129"/>
      <c r="J31" s="130"/>
      <c r="K31" s="133"/>
      <c r="L31" s="133"/>
      <c r="M31" s="119"/>
    </row>
    <row r="32" spans="1:15" ht="19.5">
      <c r="A32" s="122">
        <f>+A30+1</f>
        <v>13</v>
      </c>
      <c r="B32" s="123"/>
      <c r="C32" s="118" t="s">
        <v>323</v>
      </c>
      <c r="D32" s="124"/>
      <c r="E32" s="284"/>
      <c r="F32" s="110"/>
      <c r="G32" s="119"/>
      <c r="H32" s="119"/>
      <c r="I32" s="119"/>
      <c r="J32" s="119"/>
      <c r="K32" s="119"/>
      <c r="L32" s="119"/>
      <c r="M32" s="119"/>
    </row>
    <row r="33" spans="1:13" ht="19.5">
      <c r="A33" s="122">
        <f>A32+1</f>
        <v>14</v>
      </c>
      <c r="B33" s="123"/>
      <c r="C33" s="113" t="s">
        <v>440</v>
      </c>
      <c r="D33" s="124"/>
      <c r="E33" s="285">
        <f>'WS H-1-Detail of Tax Amts'!E75</f>
        <v>0</v>
      </c>
      <c r="F33" s="125"/>
      <c r="G33" s="119"/>
      <c r="H33" s="119"/>
      <c r="I33" s="119"/>
      <c r="J33" s="119"/>
      <c r="K33" s="119"/>
      <c r="L33" s="119"/>
      <c r="M33" s="119">
        <f>E33</f>
        <v>0</v>
      </c>
    </row>
    <row r="34" spans="1:13" ht="19.5">
      <c r="A34" s="114">
        <f>A33+1</f>
        <v>15</v>
      </c>
      <c r="B34" s="115"/>
      <c r="C34" s="113" t="s">
        <v>935</v>
      </c>
      <c r="D34" s="115"/>
      <c r="E34" s="166">
        <f>'WS H-1-Detail of Tax Amts'!E79</f>
        <v>0</v>
      </c>
      <c r="F34" s="110"/>
      <c r="G34" s="119"/>
      <c r="H34" s="119"/>
      <c r="I34" s="119"/>
      <c r="J34" s="119"/>
      <c r="K34" s="119">
        <f>+E34</f>
        <v>0</v>
      </c>
      <c r="L34" s="119"/>
      <c r="M34" s="119"/>
    </row>
    <row r="35" spans="1:13" ht="19.5">
      <c r="A35" s="114">
        <f t="shared" ref="A35:A41" si="0">+A34+1</f>
        <v>16</v>
      </c>
      <c r="B35" s="115"/>
      <c r="C35" s="113" t="s">
        <v>936</v>
      </c>
      <c r="D35"/>
      <c r="E35" s="166">
        <f>'WS H-1-Detail of Tax Amts'!E83</f>
        <v>0</v>
      </c>
      <c r="F35" s="110"/>
      <c r="G35" s="166"/>
      <c r="H35" s="166"/>
      <c r="I35" s="166"/>
      <c r="J35" s="166"/>
      <c r="K35" s="119">
        <f>+E35</f>
        <v>0</v>
      </c>
      <c r="L35" s="166"/>
      <c r="M35" s="119"/>
    </row>
    <row r="36" spans="1:13" ht="19.5">
      <c r="A36" s="114">
        <f>+A35+1</f>
        <v>17</v>
      </c>
      <c r="B36" s="115"/>
      <c r="C36" s="113" t="s">
        <v>937</v>
      </c>
      <c r="D36"/>
      <c r="E36" s="166">
        <f>'WS H-1-Detail of Tax Amts'!E93</f>
        <v>0</v>
      </c>
      <c r="F36" s="110"/>
      <c r="G36" s="119"/>
      <c r="H36" s="119"/>
      <c r="I36" s="119"/>
      <c r="J36" s="119"/>
      <c r="K36" s="119">
        <f>+E36</f>
        <v>0</v>
      </c>
      <c r="L36" s="119"/>
      <c r="M36" s="119"/>
    </row>
    <row r="37" spans="1:13" ht="19.5">
      <c r="A37" s="114">
        <f t="shared" si="0"/>
        <v>18</v>
      </c>
      <c r="B37" s="115"/>
      <c r="C37" s="113" t="s">
        <v>938</v>
      </c>
      <c r="D37" s="115"/>
      <c r="E37" s="166">
        <f>'WS H-1-Detail of Tax Amts'!E100</f>
        <v>0</v>
      </c>
      <c r="F37" s="110"/>
      <c r="G37" s="119"/>
      <c r="H37" s="119"/>
      <c r="I37" s="119"/>
      <c r="J37" s="119"/>
      <c r="K37" s="119">
        <f>+E37</f>
        <v>0</v>
      </c>
      <c r="L37" s="119"/>
      <c r="M37" s="119"/>
    </row>
    <row r="38" spans="1:13" ht="19.5">
      <c r="A38" s="114">
        <f t="shared" si="0"/>
        <v>19</v>
      </c>
      <c r="B38" s="115"/>
      <c r="C38" s="113" t="s">
        <v>939</v>
      </c>
      <c r="D38" s="115"/>
      <c r="E38" s="166">
        <f>'WS H-1-Detail of Tax Amts'!E103</f>
        <v>6000</v>
      </c>
      <c r="F38" s="125"/>
      <c r="G38" s="119"/>
      <c r="H38" s="119"/>
      <c r="I38" s="119"/>
      <c r="J38" s="119"/>
      <c r="K38" s="119"/>
      <c r="L38" s="119"/>
      <c r="M38" s="119">
        <f>+E38</f>
        <v>6000</v>
      </c>
    </row>
    <row r="39" spans="1:13" ht="19.5">
      <c r="A39" s="114">
        <f t="shared" si="0"/>
        <v>20</v>
      </c>
      <c r="B39" s="110"/>
      <c r="C39" s="113" t="s">
        <v>309</v>
      </c>
      <c r="D39" s="110"/>
      <c r="E39" s="166">
        <f>'WS H-1-Detail of Tax Amts'!E107</f>
        <v>4480223.9999999898</v>
      </c>
      <c r="F39" s="110"/>
      <c r="G39" s="119"/>
      <c r="H39" s="119"/>
      <c r="I39" s="119"/>
      <c r="J39" s="119"/>
      <c r="K39" s="119"/>
      <c r="L39" s="119"/>
      <c r="M39" s="119">
        <f>+E39</f>
        <v>4480223.9999999898</v>
      </c>
    </row>
    <row r="40" spans="1:13" ht="19.5">
      <c r="A40" s="114">
        <f t="shared" si="0"/>
        <v>21</v>
      </c>
      <c r="B40" s="110"/>
      <c r="C40" s="24" t="s">
        <v>1041</v>
      </c>
      <c r="D40" s="125"/>
      <c r="E40" s="166">
        <f>'WS H-1-Detail of Tax Amts'!E110</f>
        <v>0</v>
      </c>
      <c r="F40" s="125"/>
      <c r="G40" s="119"/>
      <c r="H40" s="119"/>
      <c r="I40" s="119"/>
      <c r="J40" s="119"/>
      <c r="K40" s="119"/>
      <c r="L40" s="119"/>
      <c r="M40" s="119">
        <f>+E40</f>
        <v>0</v>
      </c>
    </row>
    <row r="41" spans="1:13" ht="19.5">
      <c r="A41" s="114">
        <f t="shared" si="0"/>
        <v>22</v>
      </c>
      <c r="B41" s="110"/>
      <c r="C41" s="136"/>
      <c r="D41" s="125"/>
      <c r="E41" s="166"/>
      <c r="F41" s="125"/>
      <c r="G41" s="119"/>
      <c r="H41" s="119"/>
      <c r="I41" s="119"/>
      <c r="J41" s="119"/>
      <c r="K41" s="119"/>
      <c r="L41" s="119"/>
      <c r="M41" s="119"/>
    </row>
    <row r="42" spans="1:13" ht="20.25" thickBot="1">
      <c r="A42" s="114">
        <f>A41+1</f>
        <v>23</v>
      </c>
      <c r="B42" s="247"/>
      <c r="C42" s="110" t="s">
        <v>312</v>
      </c>
      <c r="D42"/>
      <c r="E42" s="135">
        <f>SUM(E17:E40)</f>
        <v>89720242.114394575</v>
      </c>
      <c r="F42" s="110"/>
      <c r="G42" s="135">
        <f>SUM(G17:G40)</f>
        <v>70990855.899999976</v>
      </c>
      <c r="H42" s="128"/>
      <c r="I42" s="135">
        <f>SUM(I17:I40)</f>
        <v>14243162.214394612</v>
      </c>
      <c r="J42" s="131"/>
      <c r="K42" s="135">
        <f>SUM(K17:K40)</f>
        <v>0</v>
      </c>
      <c r="L42" s="134"/>
      <c r="M42" s="135">
        <f>SUM(M17:M40)</f>
        <v>4486223.9999999898</v>
      </c>
    </row>
    <row r="43" spans="1:13" ht="20.25" thickTop="1">
      <c r="A43" s="6"/>
      <c r="B43" s="247"/>
      <c r="C43" s="110" t="s">
        <v>382</v>
      </c>
      <c r="D43"/>
      <c r="E43"/>
      <c r="F43" s="110"/>
      <c r="G43" s="128"/>
      <c r="H43" s="128"/>
      <c r="I43" s="131"/>
      <c r="J43" s="132"/>
      <c r="K43" s="134"/>
      <c r="L43" s="134"/>
      <c r="M43" s="134"/>
    </row>
    <row r="44" spans="1:13" ht="19.5">
      <c r="A44" s="6"/>
      <c r="B44" s="247"/>
      <c r="C44" s="125" t="s">
        <v>80</v>
      </c>
      <c r="D44"/>
      <c r="E44"/>
      <c r="F44" s="110"/>
      <c r="G44" s="128"/>
      <c r="H44" s="128"/>
      <c r="I44" s="131"/>
      <c r="J44" s="132"/>
      <c r="K44" s="134"/>
      <c r="L44" s="134"/>
      <c r="M44" s="134"/>
    </row>
    <row r="45" spans="1:13" ht="19.5">
      <c r="A45" s="6"/>
      <c r="B45" s="247"/>
      <c r="C45" s="1593" t="s">
        <v>463</v>
      </c>
      <c r="D45" s="1593"/>
      <c r="E45" s="1593"/>
      <c r="F45" s="1593"/>
      <c r="G45" s="1593"/>
      <c r="H45" s="1593"/>
      <c r="I45" s="1593"/>
      <c r="J45" s="1593"/>
      <c r="K45" s="1593"/>
      <c r="L45" s="1593"/>
      <c r="M45" s="1593"/>
    </row>
    <row r="46" spans="1:13" ht="19.5">
      <c r="A46" s="114"/>
      <c r="C46" s="110"/>
      <c r="D46" s="110"/>
      <c r="E46" s="139" t="s">
        <v>230</v>
      </c>
      <c r="G46" s="139" t="s">
        <v>334</v>
      </c>
      <c r="H46" s="139"/>
      <c r="I46" s="139" t="s">
        <v>439</v>
      </c>
      <c r="J46" s="139"/>
      <c r="K46" s="139" t="s">
        <v>335</v>
      </c>
      <c r="L46" s="139"/>
      <c r="M46" s="139" t="s">
        <v>119</v>
      </c>
    </row>
    <row r="47" spans="1:13" ht="19.5">
      <c r="A47" s="162">
        <f>+A42+1</f>
        <v>24</v>
      </c>
      <c r="B47" s="163"/>
      <c r="C47" s="261" t="str">
        <f>"Functionalized Net Plant (TCOS, Lns "&amp;TCOS!B90&amp;" thru "&amp;TCOS!B95&amp;")"</f>
        <v>Functionalized Net Plant (TCOS, Lns 41 thru 46)</v>
      </c>
      <c r="D47" s="125"/>
      <c r="E47" s="262">
        <f>+TCOS!G90</f>
        <v>2122346471.7780292</v>
      </c>
      <c r="F47" s="261"/>
      <c r="G47" s="262">
        <f>+TCOS!G91</f>
        <v>1498996646.9001255</v>
      </c>
      <c r="H47" s="261"/>
      <c r="I47" s="262">
        <f>+TCOS!G92</f>
        <v>2916991781.0254226</v>
      </c>
      <c r="J47" s="261"/>
      <c r="K47" s="263">
        <f>+TCOS!G93</f>
        <v>256832904.21032003</v>
      </c>
      <c r="L47" s="125"/>
      <c r="M47" s="164">
        <f>SUM(E47:K47)</f>
        <v>6795167803.9138975</v>
      </c>
    </row>
    <row r="48" spans="1:13" ht="19.5">
      <c r="A48" s="162"/>
      <c r="B48" s="163"/>
      <c r="C48" s="120" t="s">
        <v>918</v>
      </c>
      <c r="D48" s="125"/>
      <c r="E48" s="164"/>
      <c r="F48" s="125"/>
      <c r="G48" s="229"/>
      <c r="H48" s="125"/>
      <c r="I48" s="164"/>
      <c r="J48" s="125"/>
      <c r="K48" s="165"/>
      <c r="L48" s="125"/>
      <c r="M48" s="234"/>
    </row>
    <row r="49" spans="1:21" ht="19.5">
      <c r="A49" s="162">
        <f>+A47+1</f>
        <v>25</v>
      </c>
      <c r="B49" s="163"/>
      <c r="C49" s="125" t="str">
        <f>"Percentage of Plant in "&amp;C48&amp;""</f>
        <v>Percentage of Plant in MICHIGAN JURISDICTION</v>
      </c>
      <c r="D49" s="125"/>
      <c r="E49" s="856">
        <v>0.81327401073437899</v>
      </c>
      <c r="F49" s="319"/>
      <c r="G49" s="856">
        <v>0.15920695321370501</v>
      </c>
      <c r="H49" s="319"/>
      <c r="I49" s="856">
        <v>0.19878689758344301</v>
      </c>
      <c r="J49" s="229"/>
      <c r="K49" s="856">
        <v>0.14708551791824101</v>
      </c>
      <c r="L49" s="125"/>
      <c r="M49" s="234"/>
    </row>
    <row r="50" spans="1:21" ht="19.5">
      <c r="A50" s="162">
        <f t="shared" ref="A50:A56" si="1">+A49+1</f>
        <v>26</v>
      </c>
      <c r="B50" s="163"/>
      <c r="C50" s="261" t="str">
        <f>"Net Plant in "&amp;C48&amp;" (Ln "&amp;A47&amp;" * Ln "&amp;A49&amp;")"</f>
        <v>Net Plant in MICHIGAN JURISDICTION (Ln 24 * Ln 25)</v>
      </c>
      <c r="D50" s="125"/>
      <c r="E50" s="164">
        <f>+E47*E49</f>
        <v>1726049227.2708764</v>
      </c>
      <c r="F50" s="125"/>
      <c r="G50" s="164">
        <f>+G47*G49</f>
        <v>238650689.03052896</v>
      </c>
      <c r="H50" s="125"/>
      <c r="I50" s="164">
        <f>+I47*I49</f>
        <v>579859746.42644572</v>
      </c>
      <c r="J50" s="125"/>
      <c r="K50" s="164">
        <f>+K47*K49</f>
        <v>37776400.7342209</v>
      </c>
      <c r="L50" s="125"/>
      <c r="M50" s="164">
        <f>SUM(E50:K50)</f>
        <v>2582336063.4620719</v>
      </c>
      <c r="O50"/>
    </row>
    <row r="51" spans="1:21" ht="19.5">
      <c r="A51" s="162">
        <f t="shared" si="1"/>
        <v>27</v>
      </c>
      <c r="B51" s="163"/>
      <c r="C51" s="261" t="s">
        <v>226</v>
      </c>
      <c r="D51" s="125"/>
      <c r="E51" s="857">
        <v>541532385.42591989</v>
      </c>
      <c r="F51" s="125"/>
      <c r="G51" s="227"/>
      <c r="H51" s="125"/>
      <c r="I51" s="227"/>
      <c r="J51" s="125"/>
      <c r="K51" s="228"/>
      <c r="L51" s="125"/>
      <c r="M51" s="164"/>
      <c r="O51"/>
    </row>
    <row r="52" spans="1:21" ht="19.5">
      <c r="A52" s="162">
        <f t="shared" si="1"/>
        <v>28</v>
      </c>
      <c r="B52" s="163"/>
      <c r="C52" s="125" t="str">
        <f>"Taxable Property Basis (Ln "&amp;A50&amp;" - Ln "&amp;A51&amp;")"</f>
        <v>Taxable Property Basis (Ln 26 - Ln 27)</v>
      </c>
      <c r="D52" s="125"/>
      <c r="E52" s="164">
        <f>+E50-E51</f>
        <v>1184516841.8449564</v>
      </c>
      <c r="F52" s="125"/>
      <c r="G52" s="164">
        <f>+G50-G51</f>
        <v>238650689.03052896</v>
      </c>
      <c r="H52" s="125"/>
      <c r="I52" s="164">
        <f>+I50-I51</f>
        <v>579859746.42644572</v>
      </c>
      <c r="J52" s="125"/>
      <c r="K52" s="164">
        <f>+K50-K51</f>
        <v>37776400.7342209</v>
      </c>
      <c r="L52" s="125"/>
      <c r="M52" s="164">
        <f>SUM(E52:K52)</f>
        <v>2040803678.0361521</v>
      </c>
      <c r="O52"/>
    </row>
    <row r="53" spans="1:21" ht="19.5">
      <c r="A53" s="162">
        <f t="shared" si="1"/>
        <v>29</v>
      </c>
      <c r="B53" s="163"/>
      <c r="C53" s="166" t="s">
        <v>462</v>
      </c>
      <c r="D53" s="125"/>
      <c r="E53" s="856">
        <v>1</v>
      </c>
      <c r="F53" s="319"/>
      <c r="G53" s="856">
        <v>1</v>
      </c>
      <c r="H53" s="319"/>
      <c r="I53" s="856">
        <v>1</v>
      </c>
      <c r="J53" s="229"/>
      <c r="K53" s="856">
        <v>1</v>
      </c>
      <c r="L53" s="125"/>
      <c r="M53" s="219">
        <f>SUM(E53:K53)</f>
        <v>4</v>
      </c>
      <c r="O53"/>
    </row>
    <row r="54" spans="1:21" ht="19.5">
      <c r="A54" s="162">
        <f t="shared" si="1"/>
        <v>30</v>
      </c>
      <c r="B54" s="163"/>
      <c r="C54" s="261" t="str">
        <f>"Weighted Net Plant (Ln "&amp;A52&amp;" * Ln "&amp;A53&amp;")"</f>
        <v>Weighted Net Plant (Ln 28 * Ln 29)</v>
      </c>
      <c r="D54" s="125"/>
      <c r="E54" s="164">
        <f>+E52*E53</f>
        <v>1184516841.8449564</v>
      </c>
      <c r="F54" s="125"/>
      <c r="G54" s="164">
        <f>+G52*G53</f>
        <v>238650689.03052896</v>
      </c>
      <c r="H54" s="125"/>
      <c r="I54" s="164">
        <f>+I52*I53</f>
        <v>579859746.42644572</v>
      </c>
      <c r="J54" s="125"/>
      <c r="K54" s="164">
        <f>+K52*K53</f>
        <v>37776400.7342209</v>
      </c>
      <c r="L54" s="125"/>
      <c r="M54" s="164"/>
      <c r="O54"/>
      <c r="P54"/>
      <c r="Q54"/>
      <c r="R54"/>
      <c r="S54"/>
      <c r="T54"/>
      <c r="U54"/>
    </row>
    <row r="55" spans="1:21" ht="19.5">
      <c r="A55" s="162">
        <f t="shared" si="1"/>
        <v>31</v>
      </c>
      <c r="B55" s="163"/>
      <c r="C55" s="125" t="str">
        <f>+"General Plant Allocator (Ln "&amp;A54&amp;" / (Total - General Plant))"</f>
        <v>General Plant Allocator (Ln 30 / (Total - General Plant))</v>
      </c>
      <c r="D55" s="125"/>
      <c r="E55" s="167">
        <f>IF(E53=0,0,+E54/($E54+$G54+$I54))</f>
        <v>0.59136331055885338</v>
      </c>
      <c r="F55" s="125"/>
      <c r="G55" s="167">
        <f>IF(G53=0,0,+G54/($E54+$G54+$I54))</f>
        <v>0.11914500203511476</v>
      </c>
      <c r="H55" s="125"/>
      <c r="I55" s="167">
        <f>IF(I53=0,0,+I54/($E54+$G54+$I54))</f>
        <v>0.28949168740603187</v>
      </c>
      <c r="J55" s="125"/>
      <c r="K55" s="167">
        <v>-1</v>
      </c>
      <c r="L55" s="125"/>
      <c r="M55" s="125"/>
      <c r="O55"/>
      <c r="P55"/>
      <c r="Q55"/>
      <c r="R55"/>
      <c r="S55"/>
      <c r="T55"/>
      <c r="U55"/>
    </row>
    <row r="56" spans="1:21" ht="19.5">
      <c r="A56" s="162">
        <f t="shared" si="1"/>
        <v>32</v>
      </c>
      <c r="B56" s="163"/>
      <c r="C56" s="125" t="str">
        <f>"Functionalized General Plant (Ln "&amp;A55&amp;" * General Plant)"</f>
        <v>Functionalized General Plant (Ln 31 * General Plant)</v>
      </c>
      <c r="D56" s="125"/>
      <c r="E56" s="168">
        <f>ROUND($K54*E55,0)</f>
        <v>22339577</v>
      </c>
      <c r="F56" s="125"/>
      <c r="G56" s="168">
        <f>+G55*K54</f>
        <v>4500869.3423580602</v>
      </c>
      <c r="H56" s="125"/>
      <c r="I56" s="168">
        <f>ROUND($K54*I55,0)</f>
        <v>10935954</v>
      </c>
      <c r="J56" s="125"/>
      <c r="K56" s="168">
        <f>ROUND($K54*K55,0)</f>
        <v>-37776401</v>
      </c>
      <c r="L56" s="125"/>
      <c r="M56" s="164">
        <f>IF(SUM(E56:K56)&lt;&gt;0,0,0)</f>
        <v>0</v>
      </c>
      <c r="O56"/>
      <c r="P56"/>
      <c r="Q56"/>
      <c r="R56"/>
      <c r="S56"/>
      <c r="T56"/>
      <c r="U56"/>
    </row>
    <row r="57" spans="1:21" ht="19.5">
      <c r="A57" s="162">
        <f>+A56+1</f>
        <v>33</v>
      </c>
      <c r="B57" s="163"/>
      <c r="C57" s="125" t="str">
        <f>"Weighted "&amp;C48&amp;" Plant (Ln "&amp;A54&amp;" + "&amp;A56&amp;")"</f>
        <v>Weighted MICHIGAN JURISDICTION Plant (Ln 30 + 32)</v>
      </c>
      <c r="D57" s="125"/>
      <c r="E57" s="164">
        <f>+E54+E56</f>
        <v>1206856418.8449564</v>
      </c>
      <c r="F57" s="125"/>
      <c r="G57" s="165">
        <f>+G54+G56</f>
        <v>243151558.37288702</v>
      </c>
      <c r="H57" s="125"/>
      <c r="I57" s="164">
        <f>+I54+I56</f>
        <v>590795700.42644572</v>
      </c>
      <c r="J57" s="125"/>
      <c r="K57" s="164">
        <f>+K54+K56</f>
        <v>-0.26577910035848618</v>
      </c>
      <c r="L57" s="125"/>
      <c r="M57" s="164">
        <f>SUM(E57:K57)-SUM(E56:K56)</f>
        <v>2040803678.0361521</v>
      </c>
      <c r="O57"/>
    </row>
    <row r="58" spans="1:21" ht="19.5">
      <c r="A58" s="162">
        <f>+A57+1</f>
        <v>34</v>
      </c>
      <c r="B58" s="163"/>
      <c r="C58" s="125" t="str">
        <f>"Functional Percentage (Ln "&amp;A57&amp;"/Total Ln "&amp;A57&amp;")"</f>
        <v>Functional Percentage (Ln 33/Total Ln 33)</v>
      </c>
      <c r="D58" s="125"/>
      <c r="E58" s="229">
        <f>+E57/M57</f>
        <v>0.59136331036325063</v>
      </c>
      <c r="F58" s="125"/>
      <c r="G58" s="230">
        <f>+G57/M57</f>
        <v>0.11914500203511476</v>
      </c>
      <c r="H58" s="125"/>
      <c r="I58" s="229">
        <f>+I57/M57</f>
        <v>0.28949168740962061</v>
      </c>
      <c r="J58" s="125"/>
      <c r="K58"/>
      <c r="L58" s="125"/>
      <c r="M58" s="164"/>
      <c r="O58"/>
    </row>
    <row r="59" spans="1:21" ht="19.5">
      <c r="A59" s="162"/>
      <c r="B59" s="163"/>
      <c r="C59" s="120" t="s">
        <v>919</v>
      </c>
      <c r="D59" s="125"/>
      <c r="E59" s="164"/>
      <c r="F59" s="125"/>
      <c r="G59" s="164"/>
      <c r="H59" s="125"/>
      <c r="I59" s="164"/>
      <c r="J59" s="125"/>
      <c r="K59" s="165"/>
      <c r="L59" s="125"/>
      <c r="M59" s="164"/>
      <c r="O59"/>
    </row>
    <row r="60" spans="1:21" ht="19.5">
      <c r="A60" s="162">
        <f>+A58+1</f>
        <v>35</v>
      </c>
      <c r="B60" s="163"/>
      <c r="C60" s="125" t="str">
        <f>"Percentage of Plant in "&amp;C59&amp;""</f>
        <v>Percentage of Plant in INDIANA JURISDICTION</v>
      </c>
      <c r="D60" s="125"/>
      <c r="E60" s="856">
        <v>0.18672598926562001</v>
      </c>
      <c r="F60" s="319"/>
      <c r="G60" s="856">
        <v>0.84079304678629396</v>
      </c>
      <c r="H60" s="319"/>
      <c r="I60" s="856">
        <v>0.80121310241655896</v>
      </c>
      <c r="J60" s="229"/>
      <c r="K60" s="856">
        <v>0.84927361996536999</v>
      </c>
      <c r="L60" s="125"/>
      <c r="M60" s="226"/>
      <c r="O60"/>
    </row>
    <row r="61" spans="1:21" ht="19.5">
      <c r="A61" s="162">
        <f t="shared" ref="A61:A68" si="2">+A60+1</f>
        <v>36</v>
      </c>
      <c r="B61" s="163"/>
      <c r="C61" s="261" t="str">
        <f>"Net Plant in "&amp;C59&amp;" (Ln "&amp;A47&amp;" * Ln "&amp;A60&amp;")"</f>
        <v>Net Plant in INDIANA JURISDICTION (Ln 24 * Ln 35)</v>
      </c>
      <c r="D61"/>
      <c r="E61" s="164">
        <f>+E60*E47</f>
        <v>396297244.50715077</v>
      </c>
      <c r="F61" s="125"/>
      <c r="G61" s="164">
        <f>+G60*G47</f>
        <v>1260345957.8695951</v>
      </c>
      <c r="H61" s="125"/>
      <c r="I61" s="164">
        <f>+I60*I47</f>
        <v>2337132034.5989828</v>
      </c>
      <c r="J61" s="125"/>
      <c r="K61" s="164">
        <f>+K60*K47</f>
        <v>218121410.28491759</v>
      </c>
      <c r="L61" s="125"/>
      <c r="M61" s="164">
        <f>SUM(E61:K61)</f>
        <v>4211896647.2606459</v>
      </c>
      <c r="O61"/>
    </row>
    <row r="62" spans="1:21" ht="19.5">
      <c r="A62" s="162">
        <f t="shared" si="2"/>
        <v>37</v>
      </c>
      <c r="B62" s="163"/>
      <c r="C62" s="261" t="s">
        <v>226</v>
      </c>
      <c r="D62"/>
      <c r="E62" s="857">
        <v>118175537</v>
      </c>
      <c r="F62" s="125"/>
      <c r="G62" s="227"/>
      <c r="H62" s="125"/>
      <c r="I62" s="227"/>
      <c r="J62" s="125"/>
      <c r="K62" s="228"/>
      <c r="L62" s="125"/>
      <c r="M62" s="164"/>
      <c r="O62"/>
    </row>
    <row r="63" spans="1:21" ht="19.5">
      <c r="A63" s="162">
        <f t="shared" si="2"/>
        <v>38</v>
      </c>
      <c r="B63" s="163"/>
      <c r="C63" s="125" t="str">
        <f>"Taxable Property Basis (Ln "&amp;A61&amp;" - Ln "&amp;A62&amp;")"</f>
        <v>Taxable Property Basis (Ln 36 - Ln 37)</v>
      </c>
      <c r="D63"/>
      <c r="E63" s="164">
        <f>+E61-E62</f>
        <v>278121707.50715077</v>
      </c>
      <c r="F63" s="125"/>
      <c r="G63" s="164">
        <f>+G61-G62</f>
        <v>1260345957.8695951</v>
      </c>
      <c r="H63" s="125"/>
      <c r="I63" s="164">
        <f>+I61-I62</f>
        <v>2337132034.5989828</v>
      </c>
      <c r="J63" s="125"/>
      <c r="K63" s="164">
        <f>+K61-K62</f>
        <v>218121410.28491759</v>
      </c>
      <c r="L63" s="125"/>
      <c r="M63" s="164">
        <f>SUM(E63:K63)</f>
        <v>4093721110.2606459</v>
      </c>
      <c r="O63"/>
    </row>
    <row r="64" spans="1:21" ht="19.5">
      <c r="A64" s="162">
        <f t="shared" si="2"/>
        <v>39</v>
      </c>
      <c r="B64" s="163"/>
      <c r="C64" s="166" t="s">
        <v>462</v>
      </c>
      <c r="D64"/>
      <c r="E64" s="856">
        <v>1</v>
      </c>
      <c r="F64" s="319"/>
      <c r="G64" s="856">
        <v>1</v>
      </c>
      <c r="H64" s="319"/>
      <c r="I64" s="856">
        <v>1</v>
      </c>
      <c r="J64" s="229"/>
      <c r="K64" s="856">
        <v>1</v>
      </c>
      <c r="L64" s="125"/>
      <c r="M64" s="219">
        <f>SUM(E64:K64)</f>
        <v>4</v>
      </c>
      <c r="O64"/>
    </row>
    <row r="65" spans="1:15" ht="19.5">
      <c r="A65" s="162">
        <f t="shared" si="2"/>
        <v>40</v>
      </c>
      <c r="B65" s="163"/>
      <c r="C65" s="261" t="str">
        <f>"Weighted Net Plant (Ln "&amp;A63&amp;" * Ln "&amp;A64&amp;")"</f>
        <v>Weighted Net Plant (Ln 38 * Ln 39)</v>
      </c>
      <c r="D65"/>
      <c r="E65" s="164">
        <f>+E63*E64</f>
        <v>278121707.50715077</v>
      </c>
      <c r="F65" s="125"/>
      <c r="G65" s="164">
        <f>+G63*G64</f>
        <v>1260345957.8695951</v>
      </c>
      <c r="H65" s="125"/>
      <c r="I65" s="164">
        <f>+I63*I64</f>
        <v>2337132034.5989828</v>
      </c>
      <c r="J65" s="125"/>
      <c r="K65" s="164">
        <f>+K63*K64</f>
        <v>218121410.28491759</v>
      </c>
      <c r="L65" s="125"/>
      <c r="M65" s="164"/>
      <c r="O65"/>
    </row>
    <row r="66" spans="1:15" ht="19.5">
      <c r="A66" s="162">
        <f t="shared" si="2"/>
        <v>41</v>
      </c>
      <c r="B66" s="163"/>
      <c r="C66" s="125" t="str">
        <f>+"General Plant Allocator (Ln "&amp;A65&amp;" / (Total - General Plant))"</f>
        <v>General Plant Allocator (Ln 40 / (Total - General Plant))</v>
      </c>
      <c r="D66" s="125"/>
      <c r="E66" s="167">
        <f>IF(E64=0,0,+E65/($E65+$G65+$I65))</f>
        <v>7.1762237856735453E-2</v>
      </c>
      <c r="F66" s="125"/>
      <c r="G66" s="167">
        <f>IF(G64=0,0,+G65/($E65+$G65+$I65))</f>
        <v>0.32520024136586867</v>
      </c>
      <c r="H66" s="125"/>
      <c r="I66" s="167">
        <f>IF(I64=0,0,+I65/($E65+$G65+$I65))</f>
        <v>0.60303752077739592</v>
      </c>
      <c r="J66" s="125"/>
      <c r="K66" s="167">
        <v>-1</v>
      </c>
      <c r="L66" s="125"/>
      <c r="M66" s="125"/>
      <c r="O66"/>
    </row>
    <row r="67" spans="1:15" ht="19.5">
      <c r="A67" s="162">
        <f t="shared" si="2"/>
        <v>42</v>
      </c>
      <c r="B67" s="163"/>
      <c r="C67" s="125" t="str">
        <f>"Functionalized General Plant (Ln "&amp;A66&amp;" * General Plant)"</f>
        <v>Functionalized General Plant (Ln 41 * General Plant)</v>
      </c>
      <c r="D67" s="125"/>
      <c r="E67" s="168">
        <f>ROUND($K65*E66,0)</f>
        <v>15652881</v>
      </c>
      <c r="F67" s="125"/>
      <c r="G67" s="168">
        <f>+G66*K65</f>
        <v>70933135.271718875</v>
      </c>
      <c r="H67" s="125"/>
      <c r="I67" s="168">
        <f>ROUND($K65*I66,0)</f>
        <v>131535394</v>
      </c>
      <c r="J67" s="125"/>
      <c r="K67" s="168">
        <f>ROUND($K65*K66,0)</f>
        <v>-218121410</v>
      </c>
      <c r="L67" s="125"/>
      <c r="M67" s="164">
        <f>IF(SUM(E67:K67)&lt;&gt;0,0,0)</f>
        <v>0</v>
      </c>
      <c r="O67"/>
    </row>
    <row r="68" spans="1:15" ht="19.5">
      <c r="A68" s="162">
        <f t="shared" si="2"/>
        <v>43</v>
      </c>
      <c r="B68" s="163"/>
      <c r="C68" s="125" t="str">
        <f>"Weighted "&amp;C59&amp;" Plant (Ln "&amp;A65&amp;" + "&amp;A67&amp;")"</f>
        <v>Weighted INDIANA JURISDICTION Plant (Ln 40 + 42)</v>
      </c>
      <c r="D68" s="125"/>
      <c r="E68" s="164">
        <f>+E65+E67</f>
        <v>293774588.50715077</v>
      </c>
      <c r="F68" s="125"/>
      <c r="G68" s="165">
        <f>+G65+G67</f>
        <v>1331279093.141314</v>
      </c>
      <c r="H68" s="125"/>
      <c r="I68" s="164">
        <f>+I65+I67</f>
        <v>2468667428.5989828</v>
      </c>
      <c r="J68" s="125"/>
      <c r="K68" s="164">
        <f>+K65+K67</f>
        <v>0.28491759300231934</v>
      </c>
      <c r="L68" s="125"/>
      <c r="M68" s="164">
        <f>SUM(E68:K68)-SUM(E67:K67)</f>
        <v>4093721110.2606459</v>
      </c>
      <c r="O68"/>
    </row>
    <row r="69" spans="1:15" ht="19.5">
      <c r="A69" s="162">
        <f>+A68+1</f>
        <v>44</v>
      </c>
      <c r="B69" s="163"/>
      <c r="C69" s="125" t="str">
        <f>"Functional Percentage (Ln "&amp;A68&amp;"/Total Ln "&amp;A68&amp;")"</f>
        <v>Functional Percentage (Ln 43/Total Ln 43)</v>
      </c>
      <c r="D69" s="125"/>
      <c r="E69" s="229">
        <f>+E68/M68</f>
        <v>7.1762237972397253E-2</v>
      </c>
      <c r="F69" s="125"/>
      <c r="G69" s="230">
        <f>+G68/M68</f>
        <v>0.32520024136586873</v>
      </c>
      <c r="H69" s="125"/>
      <c r="I69" s="229">
        <f>+I68/M68</f>
        <v>0.60303752065851002</v>
      </c>
      <c r="J69" s="125"/>
      <c r="K69"/>
      <c r="L69" s="125"/>
      <c r="M69" s="164"/>
      <c r="O69"/>
    </row>
    <row r="70" spans="1:15" ht="19.5">
      <c r="A70" s="162" t="s">
        <v>115</v>
      </c>
      <c r="B70" s="163"/>
      <c r="C70" s="323" t="s">
        <v>115</v>
      </c>
      <c r="D70" s="125"/>
      <c r="E70" s="324"/>
      <c r="F70" s="325"/>
      <c r="G70" s="326"/>
      <c r="H70" s="325"/>
      <c r="I70" s="324"/>
      <c r="J70" s="325"/>
      <c r="K70" s="322"/>
      <c r="L70" s="125"/>
      <c r="M70" s="164"/>
      <c r="O70"/>
    </row>
    <row r="71" spans="1:15" ht="19.5">
      <c r="A71" s="162">
        <f>+A69+1</f>
        <v>45</v>
      </c>
      <c r="B71" s="163"/>
      <c r="C71" s="125" t="s">
        <v>934</v>
      </c>
      <c r="D71" s="125"/>
      <c r="E71" s="324">
        <f>+E47-E50-E61</f>
        <v>2.0265579223632813E-6</v>
      </c>
      <c r="F71" s="325"/>
      <c r="G71" s="225">
        <f>+M71*TCOS!J95</f>
        <v>601.82899822995114</v>
      </c>
      <c r="H71" s="325"/>
      <c r="I71" s="324">
        <f>+I47-I50-I61</f>
        <v>-5.7220458984375E-6</v>
      </c>
      <c r="J71" s="325"/>
      <c r="K71" s="324">
        <v>0</v>
      </c>
      <c r="L71" s="125"/>
      <c r="M71" s="164">
        <f>G22</f>
        <v>2851.0055919006004</v>
      </c>
      <c r="O71"/>
    </row>
    <row r="72" spans="1:15" ht="19.5">
      <c r="A72" s="162"/>
      <c r="B72" s="163"/>
      <c r="C72" s="125"/>
      <c r="D72" s="125"/>
      <c r="E72" s="225"/>
      <c r="F72" s="125"/>
      <c r="G72" s="225"/>
      <c r="H72" s="125"/>
      <c r="I72" s="225"/>
      <c r="J72" s="125"/>
      <c r="K72"/>
      <c r="L72" s="125"/>
      <c r="M72" s="165"/>
      <c r="O72"/>
    </row>
    <row r="73" spans="1:15" ht="19.5">
      <c r="A73" s="162"/>
      <c r="B73" s="163"/>
      <c r="C73" s="125"/>
      <c r="D73" s="125"/>
      <c r="E73" s="166"/>
      <c r="F73" s="166"/>
      <c r="G73" s="166"/>
      <c r="H73" s="166"/>
      <c r="I73" s="166"/>
      <c r="J73" s="125"/>
      <c r="K73" s="225"/>
      <c r="L73" s="125"/>
      <c r="M73" s="166"/>
      <c r="O73"/>
    </row>
    <row r="74" spans="1:15" ht="19.5">
      <c r="A74" s="162"/>
      <c r="B74" s="163"/>
      <c r="C74" s="125"/>
      <c r="D74" s="125"/>
      <c r="E74" s="112"/>
      <c r="F74" s="325"/>
      <c r="G74" s="322"/>
      <c r="H74" s="325"/>
      <c r="I74" s="324"/>
      <c r="J74" s="325"/>
      <c r="K74" s="324"/>
      <c r="L74" s="125"/>
      <c r="M74" s="164"/>
      <c r="O74"/>
    </row>
    <row r="75" spans="1:15" ht="12.75">
      <c r="O75"/>
    </row>
    <row r="76" spans="1:15" ht="12.75">
      <c r="G76" s="233"/>
      <c r="O76"/>
    </row>
  </sheetData>
  <mergeCells count="7">
    <mergeCell ref="A8:M8"/>
    <mergeCell ref="A7:M7"/>
    <mergeCell ref="C45:M45"/>
    <mergeCell ref="A3:M3"/>
    <mergeCell ref="A4:M4"/>
    <mergeCell ref="A5:M5"/>
    <mergeCell ref="A6:M6"/>
  </mergeCells>
  <phoneticPr fontId="70"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T138"/>
  <sheetViews>
    <sheetView view="pageBreakPreview" zoomScale="70" zoomScaleNormal="70" zoomScaleSheetLayoutView="70" workbookViewId="0">
      <selection activeCell="F101" sqref="F101"/>
    </sheetView>
  </sheetViews>
  <sheetFormatPr defaultRowHeight="12.75"/>
  <cols>
    <col min="1" max="1" width="7.28515625" style="126" customWidth="1"/>
    <col min="2" max="2" width="1.7109375" style="127" customWidth="1"/>
    <col min="3" max="3" width="68.5703125" style="127" customWidth="1"/>
    <col min="4" max="4" width="19.140625" style="127" customWidth="1"/>
    <col min="5" max="5" width="20.42578125" style="121" customWidth="1"/>
    <col min="6" max="6" width="20.42578125" style="112" bestFit="1" customWidth="1"/>
    <col min="7" max="7" width="40.28515625" style="112" bestFit="1" customWidth="1"/>
    <col min="8" max="8" width="13" style="112" bestFit="1" customWidth="1"/>
    <col min="9" max="9" width="34" style="112" customWidth="1"/>
    <col min="10" max="16384" width="9.140625" style="112"/>
  </cols>
  <sheetData>
    <row r="1" spans="1:20" ht="15.75">
      <c r="A1" s="886" t="s">
        <v>115</v>
      </c>
    </row>
    <row r="2" spans="1:20" ht="15.75">
      <c r="A2" s="886" t="s">
        <v>115</v>
      </c>
    </row>
    <row r="3" spans="1:20" ht="18.75" customHeight="1">
      <c r="A3" s="1547" t="s">
        <v>388</v>
      </c>
      <c r="B3" s="1547"/>
      <c r="C3" s="1547"/>
      <c r="D3" s="1547"/>
      <c r="E3" s="1547"/>
      <c r="F3" s="1547"/>
    </row>
    <row r="4" spans="1:20" ht="18.75" customHeight="1">
      <c r="A4" s="1548" t="str">
        <f>"Cost of Service Formula Rate Using Actual/Projected FF1 Balances"</f>
        <v>Cost of Service Formula Rate Using Actual/Projected FF1 Balances</v>
      </c>
      <c r="B4" s="1548"/>
      <c r="C4" s="1548"/>
      <c r="D4" s="1548"/>
      <c r="E4" s="1548"/>
      <c r="F4" s="1548"/>
    </row>
    <row r="5" spans="1:20" ht="18.75" customHeight="1">
      <c r="A5" s="1548" t="s">
        <v>218</v>
      </c>
      <c r="B5" s="1548"/>
      <c r="C5" s="1548"/>
      <c r="D5" s="1548"/>
      <c r="E5" s="1548"/>
      <c r="F5" s="1548"/>
    </row>
    <row r="6" spans="1:20" ht="18" customHeight="1">
      <c r="A6" s="1555" t="str">
        <f>TCOS!F9</f>
        <v xml:space="preserve">Indiana Michigan Power Company </v>
      </c>
      <c r="B6" s="1548"/>
      <c r="C6" s="1548"/>
      <c r="D6" s="1548"/>
      <c r="E6" s="1548"/>
      <c r="F6" s="1548"/>
    </row>
    <row r="7" spans="1:20" ht="18" customHeight="1">
      <c r="A7" s="1559"/>
      <c r="B7" s="1559"/>
      <c r="C7" s="1559"/>
      <c r="D7" s="1559"/>
      <c r="E7" s="1559"/>
      <c r="F7" s="1559"/>
    </row>
    <row r="8" spans="1:20" ht="19.5" customHeight="1">
      <c r="A8" s="114"/>
      <c r="B8" s="115"/>
      <c r="C8" s="37" t="s">
        <v>163</v>
      </c>
      <c r="E8" s="37" t="s">
        <v>164</v>
      </c>
      <c r="F8" s="271" t="s">
        <v>165</v>
      </c>
      <c r="G8" s="271" t="s">
        <v>166</v>
      </c>
    </row>
    <row r="9" spans="1:20" ht="18">
      <c r="A9" s="211"/>
      <c r="B9" s="212"/>
      <c r="C9" s="212"/>
      <c r="D9" s="212"/>
      <c r="E9"/>
      <c r="F9" s="16"/>
      <c r="G9" s="272"/>
      <c r="H9" s="40"/>
      <c r="I9" s="40"/>
      <c r="J9" s="40"/>
      <c r="K9" s="40"/>
      <c r="L9" s="40"/>
      <c r="M9" s="40"/>
      <c r="N9" s="40"/>
      <c r="O9" s="40"/>
      <c r="P9" s="40"/>
      <c r="Q9" s="40"/>
      <c r="R9" s="40"/>
      <c r="S9" s="40"/>
      <c r="T9" s="40"/>
    </row>
    <row r="10" spans="1:20" ht="18">
      <c r="A10" s="211" t="s">
        <v>170</v>
      </c>
      <c r="B10" s="212"/>
      <c r="C10" s="212"/>
      <c r="D10" s="212"/>
      <c r="E10" s="213" t="s">
        <v>119</v>
      </c>
      <c r="F10" s="273" t="s">
        <v>77</v>
      </c>
      <c r="G10" s="274"/>
    </row>
    <row r="11" spans="1:20" ht="18">
      <c r="A11" s="215" t="s">
        <v>118</v>
      </c>
      <c r="B11" s="275"/>
      <c r="C11" s="215" t="s">
        <v>30</v>
      </c>
      <c r="D11" s="1083"/>
      <c r="E11" s="216" t="s">
        <v>184</v>
      </c>
      <c r="F11" s="215" t="s">
        <v>78</v>
      </c>
      <c r="G11" s="216" t="s">
        <v>79</v>
      </c>
      <c r="H11" s="1083"/>
      <c r="I11" s="1083"/>
    </row>
    <row r="12" spans="1:20" ht="18">
      <c r="A12" s="116"/>
      <c r="B12" s="115"/>
      <c r="C12" s="111"/>
      <c r="D12" s="111"/>
      <c r="E12" s="111"/>
      <c r="F12" s="273"/>
      <c r="G12" s="276"/>
      <c r="H12" s="277"/>
      <c r="I12" s="1084"/>
    </row>
    <row r="13" spans="1:20" ht="18">
      <c r="A13" s="114"/>
      <c r="B13" s="115"/>
      <c r="C13" s="115"/>
      <c r="D13" s="115"/>
      <c r="E13" s="117"/>
      <c r="F13" s="111"/>
    </row>
    <row r="14" spans="1:20" ht="19.5">
      <c r="A14" s="114">
        <v>1</v>
      </c>
      <c r="B14" s="115"/>
      <c r="C14" s="118" t="s">
        <v>324</v>
      </c>
      <c r="D14" s="115"/>
      <c r="E14" s="125"/>
      <c r="F14" s="113"/>
    </row>
    <row r="15" spans="1:20" ht="19.5">
      <c r="A15" s="114">
        <f>+A14+1</f>
        <v>2</v>
      </c>
      <c r="B15" s="115"/>
      <c r="C15" s="110" t="s">
        <v>308</v>
      </c>
      <c r="D15"/>
      <c r="E15" s="285">
        <f>SUM(F16:F19)</f>
        <v>0</v>
      </c>
      <c r="F15" s="125"/>
      <c r="G15" s="277"/>
      <c r="H15" s="277"/>
    </row>
    <row r="16" spans="1:20" ht="19.5">
      <c r="A16" s="114"/>
      <c r="B16" s="115"/>
      <c r="C16" s="120"/>
      <c r="D16"/>
      <c r="E16" s="284"/>
      <c r="F16" s="858">
        <v>0</v>
      </c>
      <c r="G16" s="859"/>
      <c r="H16" s="277"/>
    </row>
    <row r="17" spans="1:9" ht="19.5">
      <c r="A17" s="114"/>
      <c r="B17" s="115"/>
      <c r="C17" s="120"/>
      <c r="D17"/>
      <c r="E17" s="284"/>
      <c r="F17" s="858"/>
      <c r="G17" s="859"/>
      <c r="H17" s="277"/>
    </row>
    <row r="18" spans="1:9" ht="19.5">
      <c r="A18" s="114"/>
      <c r="B18" s="115"/>
      <c r="C18" s="120"/>
      <c r="D18"/>
      <c r="E18" s="284"/>
      <c r="F18" s="858"/>
      <c r="G18" s="859"/>
      <c r="H18" s="277"/>
    </row>
    <row r="19" spans="1:9" ht="18" customHeight="1">
      <c r="A19" s="114"/>
      <c r="B19" s="115"/>
      <c r="C19" s="120"/>
      <c r="D19"/>
      <c r="E19" s="284"/>
      <c r="F19" s="858"/>
      <c r="G19" s="859"/>
      <c r="H19" s="277"/>
    </row>
    <row r="20" spans="1:9" ht="18" customHeight="1">
      <c r="A20" s="114"/>
      <c r="B20" s="115"/>
      <c r="C20" s="120"/>
      <c r="D20"/>
      <c r="E20" s="284"/>
      <c r="F20" s="858"/>
      <c r="G20" s="859"/>
      <c r="H20" s="277"/>
    </row>
    <row r="21" spans="1:9" ht="18" customHeight="1">
      <c r="A21" s="114"/>
      <c r="B21" s="115"/>
      <c r="C21" s="120"/>
      <c r="D21"/>
      <c r="E21" s="284"/>
      <c r="F21" s="888"/>
      <c r="G21" s="889"/>
      <c r="H21" s="277"/>
    </row>
    <row r="22" spans="1:9" ht="18" customHeight="1">
      <c r="A22" s="114"/>
      <c r="B22" s="115"/>
      <c r="C22" s="37" t="s">
        <v>163</v>
      </c>
      <c r="D22" s="37" t="s">
        <v>164</v>
      </c>
      <c r="E22" s="271" t="s">
        <v>165</v>
      </c>
      <c r="F22" s="271" t="s">
        <v>166</v>
      </c>
      <c r="G22" s="271" t="s">
        <v>85</v>
      </c>
      <c r="H22" s="1120" t="s">
        <v>86</v>
      </c>
      <c r="I22" s="271" t="s">
        <v>87</v>
      </c>
    </row>
    <row r="23" spans="1:9" ht="58.5" customHeight="1">
      <c r="A23" s="215"/>
      <c r="B23" s="275"/>
      <c r="C23" s="1121" t="s">
        <v>745</v>
      </c>
      <c r="D23" s="1122" t="s">
        <v>663</v>
      </c>
      <c r="E23" s="1123" t="s">
        <v>743</v>
      </c>
      <c r="F23" s="1124" t="s">
        <v>744</v>
      </c>
      <c r="G23" s="1125" t="s">
        <v>79</v>
      </c>
      <c r="H23" s="1123" t="s">
        <v>809</v>
      </c>
      <c r="I23" s="1124" t="s">
        <v>742</v>
      </c>
    </row>
    <row r="24" spans="1:9" ht="19.5">
      <c r="A24" s="114"/>
      <c r="B24" s="115"/>
      <c r="C24" s="323"/>
      <c r="D24" s="5"/>
      <c r="E24" s="284"/>
      <c r="F24" s="285"/>
      <c r="G24" s="1069"/>
      <c r="H24" s="277"/>
      <c r="I24" s="277"/>
    </row>
    <row r="25" spans="1:9" ht="39">
      <c r="A25" s="1067">
        <f>+A15+1</f>
        <v>3</v>
      </c>
      <c r="B25" s="1068"/>
      <c r="C25" s="1119" t="s">
        <v>741</v>
      </c>
      <c r="D25" s="1126"/>
      <c r="E25" s="1127">
        <f>E27+E33+E44+E50</f>
        <v>70990855.899999976</v>
      </c>
      <c r="F25" s="1128"/>
      <c r="G25" s="1085"/>
      <c r="H25" s="1129"/>
      <c r="I25" s="1127">
        <f>I27+I33+I44+I50</f>
        <v>12396552.78903106</v>
      </c>
    </row>
    <row r="26" spans="1:9" ht="19.5">
      <c r="A26" s="114"/>
      <c r="B26" s="115"/>
      <c r="C26" s="118"/>
      <c r="D26"/>
      <c r="E26" s="284"/>
      <c r="F26" s="279"/>
      <c r="G26" s="1069"/>
      <c r="H26" s="1070"/>
      <c r="I26" s="1071"/>
    </row>
    <row r="27" spans="1:9" ht="19.5">
      <c r="A27" s="114">
        <f>+A25+1</f>
        <v>4</v>
      </c>
      <c r="B27" s="115"/>
      <c r="C27" s="1072" t="s">
        <v>920</v>
      </c>
      <c r="D27"/>
      <c r="E27" s="285">
        <f>SUM(F28:F32)</f>
        <v>51875710.353388891</v>
      </c>
      <c r="F27" s="279"/>
      <c r="G27" s="278"/>
      <c r="H27" s="280"/>
      <c r="I27" s="1066">
        <f>SUM(I28:I32)</f>
        <v>6180731.6156275431</v>
      </c>
    </row>
    <row r="28" spans="1:9" ht="19.5">
      <c r="A28" s="114"/>
      <c r="B28" s="115"/>
      <c r="C28" s="1072"/>
      <c r="D28" s="1257" t="s">
        <v>1069</v>
      </c>
      <c r="E28" s="285"/>
      <c r="F28" s="858">
        <v>51875710.353388891</v>
      </c>
      <c r="G28" s="859"/>
      <c r="H28" s="1064">
        <f>'WS H Other Taxes'!G58</f>
        <v>0.11914500203511476</v>
      </c>
      <c r="I28" s="1134">
        <f>+F28*H28</f>
        <v>6180731.6156275431</v>
      </c>
    </row>
    <row r="29" spans="1:9" ht="19.5">
      <c r="A29" s="114"/>
      <c r="B29" s="115"/>
      <c r="C29" s="1072"/>
      <c r="D29" s="858"/>
      <c r="E29" s="285"/>
      <c r="F29" s="858"/>
      <c r="G29" s="859"/>
      <c r="H29" s="1064"/>
      <c r="I29" s="1134">
        <f>+F29*H29</f>
        <v>0</v>
      </c>
    </row>
    <row r="30" spans="1:9" ht="19.5">
      <c r="A30" s="114"/>
      <c r="B30" s="115"/>
      <c r="C30" s="1072"/>
      <c r="D30" s="858"/>
      <c r="E30" s="285"/>
      <c r="F30" s="858"/>
      <c r="G30" s="859"/>
      <c r="H30" s="1064"/>
      <c r="I30" s="1134">
        <f>+F30*H30</f>
        <v>0</v>
      </c>
    </row>
    <row r="31" spans="1:9" ht="19.5">
      <c r="A31" s="114"/>
      <c r="B31" s="115"/>
      <c r="C31" s="1072"/>
      <c r="D31" s="858"/>
      <c r="E31" s="285"/>
      <c r="F31" s="858"/>
      <c r="G31" s="859"/>
      <c r="H31" s="1064"/>
      <c r="I31" s="1134">
        <f t="shared" ref="I31:I42" si="0">F31*H31</f>
        <v>0</v>
      </c>
    </row>
    <row r="32" spans="1:9" ht="19.5">
      <c r="A32" s="114"/>
      <c r="B32" s="115"/>
      <c r="C32" s="1072"/>
      <c r="D32" s="858"/>
      <c r="E32" s="285"/>
      <c r="F32" s="858"/>
      <c r="G32" s="859"/>
      <c r="H32" s="1064"/>
      <c r="I32" s="1134">
        <f t="shared" si="0"/>
        <v>0</v>
      </c>
    </row>
    <row r="33" spans="1:9" ht="19.5">
      <c r="A33" s="114">
        <f>+A27+1</f>
        <v>5</v>
      </c>
      <c r="B33" s="115"/>
      <c r="C33" s="1072" t="s">
        <v>921</v>
      </c>
      <c r="D33"/>
      <c r="E33" s="285">
        <f>SUM(F34:F40)</f>
        <v>19112294.541019194</v>
      </c>
      <c r="F33" s="166"/>
      <c r="G33" s="278"/>
      <c r="H33" s="277"/>
      <c r="I33" s="1134">
        <f>SUM(I34:I42)</f>
        <v>6215322.7977950172</v>
      </c>
    </row>
    <row r="34" spans="1:9" ht="19.5">
      <c r="A34" s="114"/>
      <c r="B34" s="115"/>
      <c r="C34" s="1072"/>
      <c r="D34" s="1257" t="s">
        <v>1069</v>
      </c>
      <c r="E34" s="285"/>
      <c r="F34" s="858">
        <v>19112294.541019194</v>
      </c>
      <c r="G34" s="859"/>
      <c r="H34" s="1065">
        <f>'WS H Other Taxes'!G69</f>
        <v>0.32520024136586873</v>
      </c>
      <c r="I34" s="1134">
        <f>F34*H34</f>
        <v>6215322.7977950172</v>
      </c>
    </row>
    <row r="35" spans="1:9" ht="19.5">
      <c r="A35" s="114"/>
      <c r="B35" s="115"/>
      <c r="C35" s="1072"/>
      <c r="D35" s="858"/>
      <c r="E35" s="285"/>
      <c r="F35" s="858"/>
      <c r="G35" s="859"/>
      <c r="H35" s="859"/>
      <c r="I35" s="1134">
        <f t="shared" si="0"/>
        <v>0</v>
      </c>
    </row>
    <row r="36" spans="1:9" ht="19.5">
      <c r="A36" s="114"/>
      <c r="B36" s="115"/>
      <c r="C36" s="1072"/>
      <c r="D36" s="858"/>
      <c r="E36" s="285"/>
      <c r="F36" s="858"/>
      <c r="G36" s="859"/>
      <c r="H36" s="859"/>
      <c r="I36" s="1134">
        <f t="shared" si="0"/>
        <v>0</v>
      </c>
    </row>
    <row r="37" spans="1:9" ht="19.5">
      <c r="A37" s="114"/>
      <c r="B37" s="115"/>
      <c r="C37" s="1072"/>
      <c r="D37" s="858"/>
      <c r="E37" s="285"/>
      <c r="F37" s="858"/>
      <c r="G37" s="859"/>
      <c r="H37" s="859"/>
      <c r="I37" s="1134">
        <f t="shared" si="0"/>
        <v>0</v>
      </c>
    </row>
    <row r="38" spans="1:9" ht="19.5">
      <c r="A38" s="114"/>
      <c r="B38" s="115"/>
      <c r="C38" s="1072"/>
      <c r="D38" s="858"/>
      <c r="E38" s="285"/>
      <c r="F38" s="858"/>
      <c r="G38" s="859"/>
      <c r="H38" s="859"/>
      <c r="I38" s="1134">
        <f t="shared" si="0"/>
        <v>0</v>
      </c>
    </row>
    <row r="39" spans="1:9" ht="19.5">
      <c r="A39" s="114"/>
      <c r="B39" s="115"/>
      <c r="C39" s="1072"/>
      <c r="D39" s="858"/>
      <c r="E39" s="285"/>
      <c r="F39" s="858"/>
      <c r="G39" s="859"/>
      <c r="H39" s="859"/>
      <c r="I39" s="1134">
        <f t="shared" si="0"/>
        <v>0</v>
      </c>
    </row>
    <row r="40" spans="1:9" ht="19.5">
      <c r="A40" s="114"/>
      <c r="B40" s="115"/>
      <c r="C40" s="1072"/>
      <c r="D40" s="858"/>
      <c r="E40" s="285"/>
      <c r="F40" s="858"/>
      <c r="G40" s="859"/>
      <c r="H40" s="859"/>
      <c r="I40" s="1134">
        <f t="shared" si="0"/>
        <v>0</v>
      </c>
    </row>
    <row r="41" spans="1:9" ht="19.5">
      <c r="A41" s="114"/>
      <c r="B41" s="115"/>
      <c r="C41" s="1072"/>
      <c r="D41" s="858"/>
      <c r="E41" s="285"/>
      <c r="F41" s="858"/>
      <c r="G41" s="859"/>
      <c r="H41" s="859"/>
      <c r="I41" s="1134">
        <f t="shared" si="0"/>
        <v>0</v>
      </c>
    </row>
    <row r="42" spans="1:9" ht="19.5">
      <c r="A42" s="114"/>
      <c r="B42" s="115"/>
      <c r="C42" s="1072"/>
      <c r="D42" s="858"/>
      <c r="E42" s="285"/>
      <c r="F42" s="858"/>
      <c r="G42" s="859"/>
      <c r="H42" s="859"/>
      <c r="I42" s="1134">
        <f t="shared" si="0"/>
        <v>0</v>
      </c>
    </row>
    <row r="43" spans="1:9" ht="19.5">
      <c r="A43" s="114"/>
      <c r="B43" s="115"/>
      <c r="C43" s="1072"/>
      <c r="D43" s="113"/>
      <c r="E43" s="285"/>
      <c r="F43" s="6"/>
      <c r="G43" s="314"/>
      <c r="H43" s="277"/>
      <c r="I43" s="277"/>
    </row>
    <row r="44" spans="1:9" ht="19.5">
      <c r="A44" s="114">
        <f>+A33+1</f>
        <v>6</v>
      </c>
      <c r="B44" s="115"/>
      <c r="C44" s="1072" t="s">
        <v>922</v>
      </c>
      <c r="D44" s="238"/>
      <c r="E44" s="285">
        <f>SUM(F45:F48)</f>
        <v>2851.0055919006004</v>
      </c>
      <c r="F44" s="125" t="s">
        <v>115</v>
      </c>
      <c r="G44" s="314" t="s">
        <v>115</v>
      </c>
      <c r="H44" s="277"/>
      <c r="I44" s="1134">
        <f>SUM(I45:I49)</f>
        <v>498.37560850087914</v>
      </c>
    </row>
    <row r="45" spans="1:9" ht="19.5">
      <c r="A45" s="114"/>
      <c r="B45" s="115"/>
      <c r="C45" s="1072"/>
      <c r="D45" s="1257" t="s">
        <v>1069</v>
      </c>
      <c r="E45" s="285"/>
      <c r="F45" s="858">
        <v>2851.0055919006004</v>
      </c>
      <c r="G45" s="859"/>
      <c r="H45" s="1065">
        <v>0.17480695580419434</v>
      </c>
      <c r="I45" s="1134">
        <f>F45*H45</f>
        <v>498.37560850087914</v>
      </c>
    </row>
    <row r="46" spans="1:9" ht="19.5">
      <c r="A46" s="114"/>
      <c r="B46" s="115"/>
      <c r="C46" s="1072"/>
      <c r="D46" s="858"/>
      <c r="E46" s="285"/>
      <c r="F46" s="858"/>
      <c r="G46" s="859"/>
      <c r="H46" s="859"/>
      <c r="I46" s="1134">
        <f>F46*H46</f>
        <v>0</v>
      </c>
    </row>
    <row r="47" spans="1:9" ht="19.5">
      <c r="A47" s="114"/>
      <c r="B47" s="115"/>
      <c r="C47" s="1072"/>
      <c r="D47" s="858"/>
      <c r="E47" s="285"/>
      <c r="F47" s="858"/>
      <c r="G47" s="859"/>
      <c r="H47" s="859"/>
      <c r="I47" s="1134">
        <f>F47*H47</f>
        <v>0</v>
      </c>
    </row>
    <row r="48" spans="1:9" ht="19.5">
      <c r="A48" s="114"/>
      <c r="B48" s="115"/>
      <c r="C48" s="1072"/>
      <c r="D48" s="858"/>
      <c r="E48" s="285"/>
      <c r="F48" s="858"/>
      <c r="G48" s="859"/>
      <c r="H48" s="859"/>
      <c r="I48" s="1134">
        <f>F48*H48</f>
        <v>0</v>
      </c>
    </row>
    <row r="49" spans="1:9" ht="19.5">
      <c r="A49" s="114"/>
      <c r="B49" s="115"/>
      <c r="C49" s="1072"/>
      <c r="D49" s="858"/>
      <c r="E49" s="285"/>
      <c r="F49" s="858"/>
      <c r="G49" s="859"/>
      <c r="H49" s="859"/>
      <c r="I49" s="1134">
        <f>F49*H49</f>
        <v>0</v>
      </c>
    </row>
    <row r="50" spans="1:9" ht="19.5">
      <c r="A50" s="114"/>
      <c r="B50" s="115"/>
      <c r="C50" s="1072"/>
      <c r="D50" s="238"/>
      <c r="E50" s="285">
        <f>SUM(F51:F53)</f>
        <v>0</v>
      </c>
      <c r="F50" s="313"/>
      <c r="G50" s="314"/>
      <c r="H50" s="277"/>
      <c r="I50" s="1135">
        <f>SUM(I51:I53)</f>
        <v>0</v>
      </c>
    </row>
    <row r="51" spans="1:9" ht="19.5">
      <c r="A51" s="114">
        <f>A44+1</f>
        <v>7</v>
      </c>
      <c r="B51" s="115"/>
      <c r="C51" s="1072" t="s">
        <v>464</v>
      </c>
      <c r="D51" s="858"/>
      <c r="E51" s="285"/>
      <c r="F51" s="858">
        <v>0</v>
      </c>
      <c r="G51" s="859"/>
      <c r="H51" s="859"/>
      <c r="I51" s="1134">
        <f>F51*H51</f>
        <v>0</v>
      </c>
    </row>
    <row r="52" spans="1:9" ht="19.5">
      <c r="A52" s="114"/>
      <c r="B52" s="115"/>
      <c r="C52" s="113"/>
      <c r="D52" s="858"/>
      <c r="E52" s="285"/>
      <c r="F52" s="858"/>
      <c r="G52" s="859"/>
      <c r="H52" s="859"/>
      <c r="I52" s="1134">
        <f>F52*H52</f>
        <v>0</v>
      </c>
    </row>
    <row r="53" spans="1:9" ht="19.5">
      <c r="A53" s="114"/>
      <c r="B53" s="115"/>
      <c r="C53" s="113"/>
      <c r="D53" s="858"/>
      <c r="E53" s="285"/>
      <c r="F53" s="858"/>
      <c r="G53" s="859"/>
      <c r="H53" s="859"/>
      <c r="I53" s="1134">
        <f>F53*H53</f>
        <v>0</v>
      </c>
    </row>
    <row r="54" spans="1:9" ht="19.5">
      <c r="A54" s="1086"/>
      <c r="B54" s="1087"/>
      <c r="C54" s="1088"/>
      <c r="D54" s="1089"/>
      <c r="E54" s="1090"/>
      <c r="F54" s="1089"/>
      <c r="G54" s="1091"/>
      <c r="H54" s="1091"/>
      <c r="I54" s="1092"/>
    </row>
    <row r="55" spans="1:9" ht="19.5">
      <c r="A55" s="114"/>
      <c r="B55" s="115"/>
      <c r="C55" s="113"/>
      <c r="D55" s="238"/>
      <c r="E55" s="285"/>
      <c r="F55" s="313"/>
      <c r="G55" s="314"/>
      <c r="H55" s="277"/>
    </row>
    <row r="56" spans="1:9" ht="18">
      <c r="A56" s="114"/>
      <c r="B56" s="115"/>
      <c r="C56" s="37" t="s">
        <v>163</v>
      </c>
      <c r="E56" s="37" t="s">
        <v>164</v>
      </c>
      <c r="F56" s="271" t="s">
        <v>165</v>
      </c>
      <c r="G56" s="271" t="s">
        <v>166</v>
      </c>
      <c r="H56" s="277"/>
    </row>
    <row r="57" spans="1:9" ht="18">
      <c r="A57" s="211"/>
      <c r="B57" s="212"/>
      <c r="C57" s="212"/>
      <c r="D57" s="212"/>
      <c r="E57"/>
      <c r="F57" s="16"/>
      <c r="G57" s="272"/>
      <c r="H57" s="277"/>
    </row>
    <row r="58" spans="1:9" ht="18">
      <c r="A58" s="211" t="s">
        <v>170</v>
      </c>
      <c r="B58" s="212"/>
      <c r="C58" s="212"/>
      <c r="D58" s="212"/>
      <c r="E58" s="213" t="s">
        <v>119</v>
      </c>
      <c r="F58" s="273" t="s">
        <v>77</v>
      </c>
      <c r="G58" s="274"/>
      <c r="H58" s="277"/>
    </row>
    <row r="59" spans="1:9" ht="18">
      <c r="A59" s="215" t="s">
        <v>118</v>
      </c>
      <c r="B59" s="275"/>
      <c r="C59" s="215" t="s">
        <v>30</v>
      </c>
      <c r="D59" s="1083"/>
      <c r="E59" s="216" t="s">
        <v>184</v>
      </c>
      <c r="F59" s="215" t="s">
        <v>78</v>
      </c>
      <c r="G59" s="216" t="s">
        <v>79</v>
      </c>
      <c r="H59" s="277"/>
    </row>
    <row r="60" spans="1:9" ht="19.5">
      <c r="A60" s="114">
        <f>+A51+1</f>
        <v>8</v>
      </c>
      <c r="B60" s="115"/>
      <c r="C60" s="118" t="s">
        <v>326</v>
      </c>
      <c r="D60" s="115"/>
      <c r="E60" s="284"/>
      <c r="F60" s="280" t="s">
        <v>115</v>
      </c>
      <c r="G60" s="278"/>
      <c r="H60" s="277"/>
    </row>
    <row r="61" spans="1:9" ht="19.5">
      <c r="A61" s="114">
        <f>+A60+1</f>
        <v>9</v>
      </c>
      <c r="B61" s="115"/>
      <c r="C61" s="113" t="s">
        <v>322</v>
      </c>
      <c r="D61" s="115"/>
      <c r="E61" s="285">
        <f>SUM(F62)</f>
        <v>13898455.604563329</v>
      </c>
      <c r="F61" s="281"/>
      <c r="G61" s="278"/>
      <c r="H61" s="277"/>
    </row>
    <row r="62" spans="1:9" ht="19.5">
      <c r="A62" s="114"/>
      <c r="B62" s="115"/>
      <c r="C62" s="113"/>
      <c r="D62" s="115"/>
      <c r="E62" s="285"/>
      <c r="F62" s="858">
        <v>13898455.604563329</v>
      </c>
      <c r="G62" s="859"/>
      <c r="H62" s="277"/>
    </row>
    <row r="63" spans="1:9" ht="19.5">
      <c r="A63" s="114">
        <f>+A61+1</f>
        <v>10</v>
      </c>
      <c r="B63" s="115"/>
      <c r="C63" s="113" t="s">
        <v>315</v>
      </c>
      <c r="D63" s="115"/>
      <c r="E63" s="285">
        <f>SUM(F64)</f>
        <v>61155.615265996596</v>
      </c>
      <c r="F63" s="125"/>
      <c r="G63" s="325"/>
      <c r="H63" s="277"/>
    </row>
    <row r="64" spans="1:9" ht="19.5">
      <c r="A64" s="114"/>
      <c r="B64" s="115"/>
      <c r="C64" s="113"/>
      <c r="D64" s="115"/>
      <c r="E64" s="285"/>
      <c r="F64" s="858">
        <v>61155.615265996596</v>
      </c>
      <c r="G64" s="859"/>
      <c r="H64" s="277"/>
    </row>
    <row r="65" spans="1:8" ht="19.5">
      <c r="A65" s="114">
        <f>+A63+1</f>
        <v>11</v>
      </c>
      <c r="B65" s="115"/>
      <c r="C65" s="113" t="s">
        <v>316</v>
      </c>
      <c r="D65" s="115"/>
      <c r="E65" s="285">
        <f>SUM(F66:F70)</f>
        <v>283550.99456528598</v>
      </c>
      <c r="F65" s="125"/>
      <c r="G65" s="278"/>
      <c r="H65" s="277"/>
    </row>
    <row r="66" spans="1:8" ht="19.5">
      <c r="A66" s="114"/>
      <c r="B66" s="115"/>
      <c r="C66" s="113"/>
      <c r="D66" s="115"/>
      <c r="E66" s="285"/>
      <c r="F66" s="858">
        <v>283550.99456528598</v>
      </c>
      <c r="G66" s="859"/>
      <c r="H66" s="277"/>
    </row>
    <row r="67" spans="1:8" ht="19.5">
      <c r="A67" s="114"/>
      <c r="B67" s="115"/>
      <c r="C67" s="113"/>
      <c r="D67" s="115"/>
      <c r="E67" s="285"/>
      <c r="F67" s="858"/>
      <c r="G67" s="859"/>
      <c r="H67" s="277"/>
    </row>
    <row r="68" spans="1:8" ht="19.5">
      <c r="A68" s="114"/>
      <c r="B68" s="115"/>
      <c r="C68" s="113"/>
      <c r="D68" s="115"/>
      <c r="E68" s="285"/>
      <c r="F68" s="858"/>
      <c r="G68" s="859"/>
      <c r="H68" s="277"/>
    </row>
    <row r="69" spans="1:8" ht="19.5">
      <c r="A69" s="112"/>
      <c r="B69" s="112"/>
      <c r="C69" s="112"/>
      <c r="D69" s="115"/>
      <c r="E69" s="284"/>
      <c r="F69" s="858"/>
      <c r="G69" s="859"/>
      <c r="H69" s="277"/>
    </row>
    <row r="70" spans="1:8" ht="19.5">
      <c r="A70" s="112"/>
      <c r="B70" s="112"/>
      <c r="C70" s="112"/>
      <c r="D70" s="115"/>
      <c r="E70" s="284"/>
      <c r="F70" s="858"/>
      <c r="G70" s="859"/>
      <c r="H70" s="277"/>
    </row>
    <row r="71" spans="1:8" ht="19.5">
      <c r="A71" s="114">
        <f>A65+1</f>
        <v>12</v>
      </c>
      <c r="B71" s="115"/>
      <c r="C71" s="118" t="s">
        <v>441</v>
      </c>
      <c r="D71" s="115"/>
      <c r="E71" s="285">
        <f>SUM(F72:F72)</f>
        <v>0</v>
      </c>
      <c r="F71" s="313"/>
      <c r="G71" s="314"/>
      <c r="H71" s="277"/>
    </row>
    <row r="72" spans="1:8" ht="19.5">
      <c r="A72" s="114">
        <f>+A71+1</f>
        <v>13</v>
      </c>
      <c r="B72" s="115"/>
      <c r="C72" s="125" t="s">
        <v>442</v>
      </c>
      <c r="D72" s="238"/>
      <c r="E72" s="285"/>
      <c r="F72" s="858">
        <v>0</v>
      </c>
      <c r="G72" s="859"/>
      <c r="H72" s="277"/>
    </row>
    <row r="73" spans="1:8" ht="19.5">
      <c r="A73" s="114"/>
      <c r="B73" s="115"/>
      <c r="C73" s="110"/>
      <c r="D73" s="115"/>
      <c r="E73" s="289"/>
      <c r="F73" s="313"/>
      <c r="G73" s="110"/>
      <c r="H73" s="277"/>
    </row>
    <row r="74" spans="1:8" ht="19.5">
      <c r="A74" s="122">
        <f>+A72+1</f>
        <v>14</v>
      </c>
      <c r="B74" s="115"/>
      <c r="C74" s="118" t="s">
        <v>323</v>
      </c>
      <c r="D74" s="124"/>
      <c r="E74" s="284"/>
      <c r="F74" s="125"/>
      <c r="G74" s="110"/>
      <c r="H74" s="277"/>
    </row>
    <row r="75" spans="1:8" ht="19.5">
      <c r="A75" s="122">
        <f>A74+1</f>
        <v>15</v>
      </c>
      <c r="B75" s="123"/>
      <c r="C75" s="110" t="s">
        <v>440</v>
      </c>
      <c r="D75" s="124"/>
      <c r="E75" s="285">
        <f>SUM(F76:F77)</f>
        <v>0</v>
      </c>
      <c r="F75" s="125"/>
      <c r="G75" s="110"/>
      <c r="H75" s="277"/>
    </row>
    <row r="76" spans="1:8" ht="19.5">
      <c r="A76" s="122"/>
      <c r="B76" s="123"/>
      <c r="C76" s="110"/>
      <c r="D76" s="112"/>
      <c r="E76" s="289"/>
      <c r="F76" s="858">
        <v>0</v>
      </c>
      <c r="G76" s="859"/>
      <c r="H76" s="277"/>
    </row>
    <row r="77" spans="1:8" ht="19.5">
      <c r="A77" s="122"/>
      <c r="B77" s="123"/>
      <c r="C77" s="110"/>
      <c r="D77" s="112"/>
      <c r="E77" s="289"/>
      <c r="F77" s="858"/>
      <c r="G77" s="859"/>
      <c r="H77" s="277"/>
    </row>
    <row r="78" spans="1:8" ht="19.5">
      <c r="A78" s="122"/>
      <c r="B78" s="123"/>
      <c r="C78" s="110"/>
      <c r="D78" s="112"/>
      <c r="E78" s="289"/>
      <c r="F78" s="858"/>
      <c r="G78" s="859"/>
      <c r="H78" s="277"/>
    </row>
    <row r="79" spans="1:8" ht="19.5">
      <c r="A79" s="114">
        <f>A75+1</f>
        <v>16</v>
      </c>
      <c r="B79" s="123"/>
      <c r="C79" s="110" t="s">
        <v>317</v>
      </c>
      <c r="D79" s="115"/>
      <c r="E79" s="285">
        <f>SUM(F80:F81)</f>
        <v>0</v>
      </c>
      <c r="F79" s="125"/>
      <c r="G79" s="110"/>
      <c r="H79" s="277"/>
    </row>
    <row r="80" spans="1:8" ht="19.5">
      <c r="A80" s="114"/>
      <c r="B80" s="123"/>
      <c r="C80" s="110"/>
      <c r="D80" s="115"/>
      <c r="E80" s="166"/>
      <c r="F80" s="858">
        <v>0</v>
      </c>
      <c r="G80" s="859"/>
      <c r="H80" s="277"/>
    </row>
    <row r="81" spans="1:8" ht="19.5">
      <c r="A81" s="114"/>
      <c r="B81" s="123"/>
      <c r="C81" s="110"/>
      <c r="D81" s="115"/>
      <c r="E81" s="166"/>
      <c r="F81" s="858"/>
      <c r="G81" s="859"/>
      <c r="H81" s="277"/>
    </row>
    <row r="82" spans="1:8" ht="19.5">
      <c r="A82" s="114"/>
      <c r="B82" s="123"/>
      <c r="C82" s="110"/>
      <c r="D82" s="115"/>
      <c r="E82" s="166"/>
      <c r="F82" s="858"/>
      <c r="G82" s="859"/>
      <c r="H82" s="277"/>
    </row>
    <row r="83" spans="1:8" ht="19.5">
      <c r="A83" s="114">
        <f>+A79+1</f>
        <v>17</v>
      </c>
      <c r="B83" s="115"/>
      <c r="C83" s="110" t="s">
        <v>318</v>
      </c>
      <c r="D83"/>
      <c r="E83" s="285">
        <f>SUM(F84:F91)</f>
        <v>0</v>
      </c>
      <c r="H83" s="277"/>
    </row>
    <row r="84" spans="1:8" ht="19.5">
      <c r="A84" s="114"/>
      <c r="B84" s="115"/>
      <c r="C84" s="110"/>
      <c r="D84"/>
      <c r="E84" s="166"/>
      <c r="F84" s="858">
        <v>0</v>
      </c>
      <c r="G84" s="859"/>
      <c r="H84" s="277"/>
    </row>
    <row r="85" spans="1:8" ht="19.5">
      <c r="A85" s="114"/>
      <c r="B85" s="115"/>
      <c r="C85" s="110"/>
      <c r="D85"/>
      <c r="E85" s="166"/>
      <c r="F85" s="858"/>
      <c r="G85" s="859"/>
      <c r="H85" s="277"/>
    </row>
    <row r="86" spans="1:8" ht="19.5">
      <c r="A86" s="114"/>
      <c r="B86" s="115"/>
      <c r="C86" s="110"/>
      <c r="D86"/>
      <c r="E86" s="166"/>
      <c r="F86" s="858"/>
      <c r="G86" s="859"/>
      <c r="H86" s="277"/>
    </row>
    <row r="87" spans="1:8" ht="19.5">
      <c r="A87" s="114"/>
      <c r="B87" s="115"/>
      <c r="C87" s="110"/>
      <c r="D87"/>
      <c r="E87" s="166"/>
      <c r="F87" s="858"/>
      <c r="G87" s="859"/>
      <c r="H87" s="277"/>
    </row>
    <row r="88" spans="1:8" ht="19.5">
      <c r="A88" s="114"/>
      <c r="B88" s="115"/>
      <c r="C88" s="110"/>
      <c r="D88"/>
      <c r="E88" s="166"/>
      <c r="F88" s="858"/>
      <c r="G88" s="859"/>
      <c r="H88" s="277"/>
    </row>
    <row r="89" spans="1:8" ht="19.5">
      <c r="A89" s="114"/>
      <c r="B89" s="115"/>
      <c r="C89" s="110"/>
      <c r="D89"/>
      <c r="E89" s="166"/>
      <c r="F89" s="858"/>
      <c r="G89" s="859"/>
      <c r="H89" s="277"/>
    </row>
    <row r="90" spans="1:8" ht="19.5">
      <c r="A90" s="114"/>
      <c r="B90" s="115"/>
      <c r="C90" s="110"/>
      <c r="D90"/>
      <c r="E90" s="166"/>
      <c r="F90" s="858"/>
      <c r="G90" s="859"/>
      <c r="H90" s="277"/>
    </row>
    <row r="91" spans="1:8" ht="19.5">
      <c r="A91" s="114"/>
      <c r="B91" s="115"/>
      <c r="C91" s="110"/>
      <c r="D91"/>
      <c r="E91" s="166"/>
      <c r="F91" s="858"/>
      <c r="G91" s="859"/>
      <c r="H91" s="277"/>
    </row>
    <row r="92" spans="1:8" ht="19.5">
      <c r="A92" s="114"/>
      <c r="B92" s="115"/>
      <c r="C92" s="110"/>
      <c r="D92"/>
      <c r="E92" s="166"/>
      <c r="F92" s="125"/>
      <c r="G92" s="110"/>
      <c r="H92" s="277"/>
    </row>
    <row r="93" spans="1:8" ht="19.5">
      <c r="A93" s="114">
        <f>+A83+1</f>
        <v>18</v>
      </c>
      <c r="B93" s="115"/>
      <c r="C93" s="110" t="s">
        <v>319</v>
      </c>
      <c r="D93"/>
      <c r="E93" s="285">
        <f>SUM(F94:F99)</f>
        <v>0</v>
      </c>
      <c r="F93" s="125"/>
      <c r="G93" s="110"/>
      <c r="H93" s="277"/>
    </row>
    <row r="94" spans="1:8" ht="19.5">
      <c r="A94" s="114"/>
      <c r="B94" s="115"/>
      <c r="C94" s="110"/>
      <c r="D94"/>
      <c r="E94" s="166"/>
      <c r="F94" s="858">
        <v>0</v>
      </c>
      <c r="G94" s="859"/>
      <c r="H94" s="277"/>
    </row>
    <row r="95" spans="1:8" ht="19.5">
      <c r="A95" s="114"/>
      <c r="B95" s="115"/>
      <c r="C95" s="110"/>
      <c r="D95"/>
      <c r="E95" s="166"/>
      <c r="F95" s="858"/>
      <c r="G95" s="859"/>
      <c r="H95" s="277"/>
    </row>
    <row r="96" spans="1:8" ht="19.5">
      <c r="A96" s="114"/>
      <c r="B96" s="115"/>
      <c r="C96" s="110"/>
      <c r="D96"/>
      <c r="E96" s="166"/>
      <c r="F96" s="858"/>
      <c r="G96" s="859"/>
      <c r="H96" s="277"/>
    </row>
    <row r="97" spans="1:8" ht="19.5">
      <c r="A97" s="114"/>
      <c r="B97" s="115"/>
      <c r="C97" s="110"/>
      <c r="D97"/>
      <c r="E97" s="166"/>
      <c r="F97" s="858"/>
      <c r="G97" s="859"/>
      <c r="H97" s="277"/>
    </row>
    <row r="98" spans="1:8" ht="19.5">
      <c r="A98" s="114"/>
      <c r="B98" s="115"/>
      <c r="C98" s="110"/>
      <c r="D98"/>
      <c r="E98" s="166"/>
      <c r="F98" s="858"/>
      <c r="G98" s="859"/>
      <c r="H98" s="277"/>
    </row>
    <row r="99" spans="1:8" ht="19.5">
      <c r="A99" s="114"/>
      <c r="B99" s="115"/>
      <c r="C99" s="110"/>
      <c r="D99"/>
      <c r="E99" s="166"/>
      <c r="F99" s="858"/>
      <c r="G99" s="859"/>
      <c r="H99" s="277"/>
    </row>
    <row r="100" spans="1:8" ht="19.5">
      <c r="A100" s="114">
        <f>+A93+1</f>
        <v>19</v>
      </c>
      <c r="B100" s="115"/>
      <c r="C100" s="110" t="s">
        <v>320</v>
      </c>
      <c r="D100" s="115"/>
      <c r="E100" s="285">
        <f>SUM(F101:F102)</f>
        <v>0</v>
      </c>
      <c r="F100" s="125"/>
      <c r="G100" s="314"/>
      <c r="H100" s="277"/>
    </row>
    <row r="101" spans="1:8" ht="19.5">
      <c r="A101" s="114"/>
      <c r="B101" s="115"/>
      <c r="C101" s="110"/>
      <c r="D101" s="115"/>
      <c r="E101" s="285"/>
      <c r="F101" s="858"/>
      <c r="G101" s="859"/>
      <c r="H101" s="277"/>
    </row>
    <row r="102" spans="1:8" ht="19.5">
      <c r="A102" s="114"/>
      <c r="B102" s="115"/>
      <c r="C102" s="110"/>
      <c r="D102" s="115"/>
      <c r="E102" s="289"/>
      <c r="F102" s="858"/>
      <c r="G102" s="859"/>
      <c r="H102" s="277"/>
    </row>
    <row r="103" spans="1:8" ht="19.5">
      <c r="A103" s="114">
        <f>+A100+1</f>
        <v>20</v>
      </c>
      <c r="B103" s="115"/>
      <c r="C103" s="110" t="s">
        <v>321</v>
      </c>
      <c r="D103" s="112"/>
      <c r="E103" s="285">
        <f>SUM(F104:F106)</f>
        <v>6000</v>
      </c>
      <c r="G103" s="110"/>
      <c r="H103" s="277"/>
    </row>
    <row r="104" spans="1:8" ht="19.5">
      <c r="A104" s="114"/>
      <c r="B104" s="115"/>
      <c r="C104" s="110"/>
      <c r="D104" s="115"/>
      <c r="E104" s="166"/>
      <c r="F104" s="858">
        <v>6000</v>
      </c>
      <c r="G104" s="859"/>
      <c r="H104" s="277"/>
    </row>
    <row r="105" spans="1:8" ht="19.5">
      <c r="A105" s="114"/>
      <c r="B105" s="115"/>
      <c r="C105" s="110"/>
      <c r="D105" s="115"/>
      <c r="E105" s="166"/>
      <c r="F105" s="858"/>
      <c r="G105" s="859"/>
      <c r="H105" s="277"/>
    </row>
    <row r="106" spans="1:8" ht="19.5">
      <c r="A106" s="114"/>
      <c r="B106" s="115"/>
      <c r="C106" s="110"/>
      <c r="D106" s="115"/>
      <c r="E106" s="166"/>
      <c r="F106" s="125"/>
      <c r="G106" s="110"/>
      <c r="H106" s="277"/>
    </row>
    <row r="107" spans="1:8" ht="19.5">
      <c r="A107" s="114">
        <f>+A103+1</f>
        <v>21</v>
      </c>
      <c r="B107" s="115"/>
      <c r="C107" s="110" t="s">
        <v>309</v>
      </c>
      <c r="D107" s="110"/>
      <c r="E107" s="285">
        <f>SUM(F108:F109)</f>
        <v>4480223.9999999898</v>
      </c>
      <c r="F107" s="125"/>
      <c r="G107" s="110"/>
      <c r="H107" s="277"/>
    </row>
    <row r="108" spans="1:8" ht="19.5">
      <c r="A108" s="114"/>
      <c r="B108" s="115"/>
      <c r="C108" s="110"/>
      <c r="D108" s="110"/>
      <c r="E108" s="166"/>
      <c r="F108" s="858">
        <v>4480223.9999999898</v>
      </c>
      <c r="G108" s="859"/>
      <c r="H108" s="277"/>
    </row>
    <row r="109" spans="1:8" ht="19.5">
      <c r="A109" s="114"/>
      <c r="B109" s="115"/>
      <c r="C109" s="110"/>
      <c r="D109" s="110"/>
      <c r="E109" s="166"/>
      <c r="F109" s="858"/>
      <c r="G109" s="859"/>
      <c r="H109" s="277"/>
    </row>
    <row r="110" spans="1:8" ht="19.5">
      <c r="A110" s="114">
        <f>+A107+1</f>
        <v>22</v>
      </c>
      <c r="B110" s="110"/>
      <c r="C110" s="136" t="s">
        <v>108</v>
      </c>
      <c r="D110" s="125"/>
      <c r="E110" s="285">
        <f>SUM(F111:F111)</f>
        <v>0</v>
      </c>
      <c r="F110" s="282"/>
      <c r="G110" s="110"/>
      <c r="H110" s="277"/>
    </row>
    <row r="111" spans="1:8" ht="19.5">
      <c r="A111" s="114"/>
      <c r="B111" s="110"/>
      <c r="C111" s="136"/>
      <c r="D111" s="125"/>
      <c r="E111" s="166"/>
      <c r="F111" s="858">
        <v>0</v>
      </c>
      <c r="G111" s="859"/>
    </row>
    <row r="112" spans="1:8" ht="19.5">
      <c r="A112" s="6"/>
      <c r="B112" s="110"/>
      <c r="C112" s="259"/>
      <c r="D112"/>
      <c r="E112"/>
      <c r="F112" s="258"/>
      <c r="G112" s="283"/>
    </row>
    <row r="113" spans="1:7" ht="20.25" thickBot="1">
      <c r="A113" s="252">
        <f>+A110+1</f>
        <v>23</v>
      </c>
      <c r="B113" s="259"/>
      <c r="C113" s="110" t="s">
        <v>312</v>
      </c>
      <c r="D113"/>
      <c r="E113" s="135">
        <f>E15+E25+E61+E63+E65+E79+E103+E83+E93+E100+E107+E110+E71+E75</f>
        <v>89720242.114394575</v>
      </c>
      <c r="F113" s="135">
        <f>SUM(F15:F111)</f>
        <v>89720242.114394575</v>
      </c>
      <c r="G113" s="110"/>
    </row>
    <row r="114" spans="1:7" ht="20.25" thickTop="1">
      <c r="A114" s="6"/>
      <c r="B114" s="259"/>
      <c r="C114" s="110" t="s">
        <v>382</v>
      </c>
      <c r="D114"/>
      <c r="E114"/>
      <c r="F114" s="282"/>
      <c r="G114" s="110"/>
    </row>
    <row r="115" spans="1:7" ht="21">
      <c r="A115" s="6"/>
      <c r="B115" s="259"/>
      <c r="C115" s="110"/>
      <c r="D115"/>
      <c r="E115" s="290"/>
      <c r="F115" s="168" t="s">
        <v>115</v>
      </c>
      <c r="G115" s="110"/>
    </row>
    <row r="116" spans="1:7" ht="20.25" customHeight="1">
      <c r="A116" s="1595" t="s">
        <v>754</v>
      </c>
      <c r="B116" s="1595"/>
      <c r="C116" s="1595"/>
      <c r="D116" s="1595"/>
      <c r="E116" s="1595"/>
      <c r="F116" s="1595"/>
      <c r="G116" s="1595"/>
    </row>
    <row r="117" spans="1:7" ht="20.25" customHeight="1">
      <c r="A117" s="1595"/>
      <c r="B117" s="1595"/>
      <c r="C117" s="1595"/>
      <c r="D117" s="1595"/>
      <c r="E117" s="1595"/>
      <c r="F117" s="1595"/>
      <c r="G117" s="1595"/>
    </row>
    <row r="118" spans="1:7" ht="20.25" customHeight="1">
      <c r="A118" s="1595"/>
      <c r="B118" s="1595"/>
      <c r="C118" s="1595"/>
      <c r="D118" s="1595"/>
      <c r="E118" s="1595"/>
      <c r="F118" s="1595"/>
      <c r="G118" s="1595"/>
    </row>
    <row r="119" spans="1:7" ht="20.25" customHeight="1">
      <c r="A119" s="1595"/>
      <c r="B119" s="1595"/>
      <c r="C119" s="1595"/>
      <c r="D119" s="1595"/>
      <c r="E119" s="1595"/>
      <c r="F119" s="1595"/>
      <c r="G119" s="1595"/>
    </row>
    <row r="120" spans="1:7" ht="20.25" customHeight="1">
      <c r="A120" s="1595"/>
      <c r="B120" s="1595"/>
      <c r="C120" s="1595"/>
      <c r="D120" s="1595"/>
      <c r="E120" s="1595"/>
      <c r="F120" s="1595"/>
      <c r="G120" s="1595"/>
    </row>
    <row r="121" spans="1:7" ht="20.25" customHeight="1">
      <c r="A121" s="1130"/>
      <c r="B121" s="1130"/>
      <c r="C121" s="1130"/>
      <c r="D121" s="1130"/>
      <c r="E121" s="1130"/>
      <c r="F121" s="1130"/>
      <c r="G121" s="1130"/>
    </row>
    <row r="122" spans="1:7" ht="30.75" customHeight="1">
      <c r="A122" s="1594" t="s">
        <v>852</v>
      </c>
      <c r="B122" s="1594"/>
      <c r="C122" s="1594"/>
      <c r="D122" s="1594"/>
      <c r="E122" s="1594"/>
      <c r="F122" s="1594"/>
      <c r="G122" s="1594"/>
    </row>
    <row r="123" spans="1:7" ht="30.75" customHeight="1">
      <c r="A123" s="1594"/>
      <c r="B123" s="1594"/>
      <c r="C123" s="1594"/>
      <c r="D123" s="1594"/>
      <c r="E123" s="1594"/>
      <c r="F123" s="1594"/>
      <c r="G123" s="1594"/>
    </row>
    <row r="124" spans="1:7" ht="19.5">
      <c r="B124" s="163"/>
      <c r="F124" s="125"/>
      <c r="G124" s="110"/>
    </row>
    <row r="125" spans="1:7" ht="19.5">
      <c r="B125" s="163"/>
      <c r="F125" s="282"/>
      <c r="G125" s="110"/>
    </row>
    <row r="126" spans="1:7" ht="19.5">
      <c r="B126" s="163"/>
      <c r="F126" s="282"/>
      <c r="G126" s="110"/>
    </row>
    <row r="127" spans="1:7" ht="19.5">
      <c r="B127" s="163"/>
      <c r="F127" s="282"/>
      <c r="G127" s="110"/>
    </row>
    <row r="128" spans="1:7" ht="19.5">
      <c r="B128" s="163"/>
      <c r="F128" s="125"/>
      <c r="G128" s="277"/>
    </row>
    <row r="129" spans="2:7" ht="19.5">
      <c r="B129" s="163"/>
      <c r="F129" s="125"/>
      <c r="G129" s="277"/>
    </row>
    <row r="130" spans="2:7" ht="19.5">
      <c r="B130" s="163"/>
      <c r="F130" s="125"/>
      <c r="G130" s="277"/>
    </row>
    <row r="131" spans="2:7" ht="19.5">
      <c r="B131" s="163"/>
      <c r="F131" s="284"/>
      <c r="G131" s="277"/>
    </row>
    <row r="132" spans="2:7" ht="19.5">
      <c r="B132" s="163"/>
      <c r="F132" s="137"/>
    </row>
    <row r="133" spans="2:7">
      <c r="B133" s="163"/>
      <c r="F133" s="274"/>
    </row>
    <row r="134" spans="2:7">
      <c r="B134" s="163"/>
      <c r="F134" s="274"/>
    </row>
    <row r="135" spans="2:7">
      <c r="B135" s="163"/>
    </row>
    <row r="136" spans="2:7">
      <c r="B136" s="163"/>
    </row>
    <row r="137" spans="2:7">
      <c r="B137" s="163"/>
    </row>
    <row r="138" spans="2:7">
      <c r="B138" s="163"/>
    </row>
  </sheetData>
  <mergeCells count="7">
    <mergeCell ref="A122:G123"/>
    <mergeCell ref="A116:G120"/>
    <mergeCell ref="A7:F7"/>
    <mergeCell ref="A3:F3"/>
    <mergeCell ref="A4:F4"/>
    <mergeCell ref="A5:F5"/>
    <mergeCell ref="A6:F6"/>
  </mergeCells>
  <phoneticPr fontId="70"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C78"/>
  <sheetViews>
    <sheetView view="pageBreakPreview" zoomScale="60"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886" t="s">
        <v>115</v>
      </c>
    </row>
    <row r="2" spans="1:29" ht="15.75">
      <c r="A2" s="886" t="s">
        <v>115</v>
      </c>
    </row>
    <row r="3" spans="1:29" ht="18">
      <c r="A3" s="1597" t="s">
        <v>388</v>
      </c>
      <c r="B3" s="1597"/>
      <c r="C3" s="1597"/>
      <c r="D3" s="1597"/>
      <c r="E3" s="1597"/>
      <c r="F3" s="1597"/>
      <c r="G3" s="1597"/>
      <c r="H3" s="1597"/>
      <c r="I3" s="1597"/>
      <c r="J3" s="1597"/>
      <c r="K3" s="157"/>
      <c r="L3" s="157"/>
      <c r="M3" s="157"/>
    </row>
    <row r="4" spans="1:29" ht="18">
      <c r="A4" s="1596" t="str">
        <f>"Cost of Service Formula Rate Using "&amp;TCOS!L4&amp;" FF1 Balances"</f>
        <v>Cost of Service Formula Rate Using 2025 FF1 Balances</v>
      </c>
      <c r="B4" s="1596"/>
      <c r="C4" s="1596"/>
      <c r="D4" s="1596"/>
      <c r="E4" s="1596"/>
      <c r="F4" s="1596"/>
      <c r="G4" s="1596"/>
      <c r="H4" s="1596"/>
      <c r="I4" s="1596"/>
      <c r="J4" s="1596"/>
      <c r="K4" s="96"/>
      <c r="L4" s="96"/>
      <c r="M4" s="96"/>
    </row>
    <row r="5" spans="1:29" ht="18">
      <c r="A5" s="1596" t="s">
        <v>548</v>
      </c>
      <c r="B5" s="1596"/>
      <c r="C5" s="1596"/>
      <c r="D5" s="1596"/>
      <c r="E5" s="1596"/>
      <c r="F5" s="1596"/>
      <c r="G5" s="1596"/>
      <c r="H5" s="1596"/>
      <c r="I5" s="1596"/>
      <c r="J5" s="1596"/>
      <c r="K5" s="158"/>
      <c r="L5" s="158"/>
      <c r="M5" s="158"/>
    </row>
    <row r="6" spans="1:29" ht="18">
      <c r="A6" s="1591" t="str">
        <f>+TCOS!F9</f>
        <v xml:space="preserve">Indiana Michigan Power Company </v>
      </c>
      <c r="B6" s="1591"/>
      <c r="C6" s="1591"/>
      <c r="D6" s="1591"/>
      <c r="E6" s="1591"/>
      <c r="F6" s="1591"/>
      <c r="G6" s="1591"/>
      <c r="H6" s="1591"/>
      <c r="I6" s="1591"/>
      <c r="J6" s="1591"/>
      <c r="K6" s="169"/>
      <c r="L6" s="169"/>
      <c r="M6" s="169"/>
    </row>
    <row r="8" spans="1:29" ht="18">
      <c r="A8" s="175"/>
      <c r="B8" s="102"/>
      <c r="D8" s="104"/>
      <c r="E8" s="6"/>
      <c r="F8" s="106"/>
    </row>
    <row r="9" spans="1:29" ht="18">
      <c r="C9" s="7"/>
      <c r="D9" s="104"/>
      <c r="E9" s="6"/>
      <c r="F9" s="106"/>
      <c r="Q9" s="157"/>
      <c r="R9" s="157"/>
      <c r="S9" s="157"/>
      <c r="T9" s="157"/>
      <c r="U9" s="157"/>
      <c r="V9" s="157"/>
      <c r="W9" s="157"/>
      <c r="X9" s="157"/>
      <c r="Y9" s="157"/>
      <c r="Z9" s="157"/>
      <c r="AA9" s="157"/>
      <c r="AB9" s="157"/>
      <c r="AC9" s="157"/>
    </row>
    <row r="10" spans="1:29">
      <c r="C10" s="7"/>
      <c r="D10" s="104"/>
    </row>
    <row r="11" spans="1:29">
      <c r="C11" s="7"/>
      <c r="D11" s="104"/>
    </row>
    <row r="12" spans="1:29">
      <c r="C12" s="7"/>
      <c r="D12" s="104"/>
      <c r="H12" s="105"/>
    </row>
    <row r="13" spans="1:29">
      <c r="C13" s="7"/>
      <c r="D13" s="104"/>
      <c r="H13" s="105"/>
    </row>
    <row r="14" spans="1:29">
      <c r="C14" s="7"/>
      <c r="D14" s="104"/>
      <c r="E14" s="6"/>
      <c r="H14" s="105"/>
    </row>
    <row r="15" spans="1:29">
      <c r="C15" s="7"/>
      <c r="D15" s="104"/>
      <c r="E15" s="6"/>
      <c r="H15" s="106"/>
    </row>
    <row r="16" spans="1:29">
      <c r="C16" s="7"/>
      <c r="D16" s="104"/>
      <c r="E16" s="6"/>
      <c r="H16" s="170"/>
    </row>
    <row r="18" spans="1:12" ht="18">
      <c r="A18" s="175"/>
      <c r="B18" s="19"/>
    </row>
    <row r="20" spans="1:12">
      <c r="A20" s="18"/>
      <c r="B20" s="18"/>
      <c r="C20" s="171"/>
      <c r="E20" s="171"/>
      <c r="F20" s="171"/>
      <c r="G20" s="171"/>
      <c r="H20" s="171"/>
      <c r="I20" s="171"/>
      <c r="J20" s="172"/>
    </row>
    <row r="22" spans="1:12">
      <c r="E22" s="173"/>
      <c r="F22" s="174"/>
      <c r="G22" s="174"/>
      <c r="I22" s="174"/>
      <c r="L22" s="315"/>
    </row>
    <row r="23" spans="1:12">
      <c r="E23" s="108"/>
      <c r="F23" s="174"/>
      <c r="G23" s="174"/>
      <c r="I23" s="174"/>
      <c r="L23" s="315"/>
    </row>
    <row r="24" spans="1:12">
      <c r="E24" s="108"/>
      <c r="F24" s="174"/>
      <c r="G24" s="174"/>
      <c r="I24" s="174"/>
      <c r="L24" s="315"/>
    </row>
    <row r="25" spans="1:12">
      <c r="E25" s="108"/>
      <c r="F25" s="174"/>
      <c r="G25" s="174"/>
      <c r="I25" s="174"/>
      <c r="L25" s="315"/>
    </row>
    <row r="26" spans="1:12">
      <c r="E26" s="108"/>
      <c r="F26" s="174"/>
      <c r="G26" s="174"/>
      <c r="I26" s="174"/>
      <c r="L26" s="315"/>
    </row>
    <row r="27" spans="1:12">
      <c r="E27" s="108"/>
      <c r="F27" s="174"/>
      <c r="G27" s="174"/>
      <c r="I27" s="174"/>
      <c r="L27" s="315"/>
    </row>
    <row r="28" spans="1:12">
      <c r="E28" s="108"/>
      <c r="F28" s="174"/>
      <c r="G28" s="174"/>
      <c r="I28" s="174"/>
      <c r="L28" s="315"/>
    </row>
    <row r="29" spans="1:12">
      <c r="E29" s="108"/>
      <c r="F29" s="174"/>
      <c r="G29" s="174"/>
      <c r="I29" s="174"/>
      <c r="L29" s="315"/>
    </row>
    <row r="30" spans="1:12">
      <c r="E30" s="108"/>
      <c r="F30" s="174"/>
      <c r="G30" s="174"/>
      <c r="I30" s="174"/>
      <c r="L30" s="315"/>
    </row>
    <row r="31" spans="1:12">
      <c r="E31" s="108"/>
      <c r="F31" s="174"/>
      <c r="G31" s="174"/>
      <c r="I31" s="174"/>
      <c r="L31" s="315"/>
    </row>
    <row r="32" spans="1:12">
      <c r="E32" s="108"/>
      <c r="F32" s="174"/>
      <c r="G32" s="174"/>
      <c r="I32" s="174"/>
      <c r="L32" s="315"/>
    </row>
    <row r="33" spans="1:12">
      <c r="E33" s="108"/>
      <c r="F33" s="174"/>
      <c r="G33" s="174"/>
      <c r="I33" s="174"/>
      <c r="L33" s="315"/>
    </row>
    <row r="35" spans="1:12">
      <c r="H35" s="98"/>
      <c r="I35" s="320"/>
    </row>
    <row r="37" spans="1:12" ht="18">
      <c r="A37" s="175"/>
      <c r="B37" s="19"/>
    </row>
    <row r="44" spans="1:12" ht="18">
      <c r="A44" s="175"/>
      <c r="B44" s="184"/>
      <c r="C44" s="176"/>
      <c r="E44" s="176"/>
      <c r="F44" s="176"/>
      <c r="G44" s="176"/>
      <c r="H44" s="176"/>
      <c r="I44" s="104"/>
    </row>
    <row r="45" spans="1:12">
      <c r="B45" s="177"/>
      <c r="C45" s="176"/>
      <c r="E45" s="176"/>
      <c r="F45" s="176"/>
      <c r="G45" s="176"/>
      <c r="H45" s="176"/>
      <c r="I45" s="104"/>
    </row>
    <row r="46" spans="1:12">
      <c r="B46" s="183"/>
      <c r="C46" s="176"/>
      <c r="E46" s="176"/>
      <c r="F46" s="176"/>
      <c r="G46" s="185"/>
      <c r="H46" s="185"/>
    </row>
    <row r="47" spans="1:12">
      <c r="B47" s="183"/>
      <c r="C47" s="178"/>
      <c r="E47" s="178"/>
      <c r="F47" s="178"/>
      <c r="G47" s="178"/>
    </row>
    <row r="48" spans="1:12">
      <c r="B48" s="180"/>
      <c r="F48" s="98"/>
      <c r="G48" s="220"/>
      <c r="H48" s="188"/>
      <c r="I48" s="181"/>
      <c r="J48" s="186"/>
    </row>
    <row r="49" spans="2:10">
      <c r="B49" s="180"/>
      <c r="F49" s="98"/>
      <c r="G49" s="179"/>
      <c r="H49" s="188"/>
      <c r="I49" s="181"/>
      <c r="J49" s="186"/>
    </row>
    <row r="50" spans="2:10">
      <c r="B50" s="183"/>
      <c r="G50" s="179"/>
      <c r="H50" s="188"/>
      <c r="I50" s="181"/>
      <c r="J50" s="186"/>
    </row>
    <row r="51" spans="2:10">
      <c r="B51" s="264"/>
      <c r="C51" s="265"/>
      <c r="D51" s="176"/>
      <c r="E51" s="176"/>
      <c r="F51" s="176"/>
      <c r="G51" s="321"/>
      <c r="H51" s="186"/>
      <c r="J51" s="186"/>
    </row>
    <row r="52" spans="2:10">
      <c r="F52" s="98"/>
      <c r="G52" s="220"/>
      <c r="J52" s="187"/>
    </row>
    <row r="55" spans="2:10">
      <c r="D55" s="187"/>
    </row>
    <row r="56" spans="2:10">
      <c r="D56" s="187"/>
      <c r="H56" s="104"/>
    </row>
    <row r="57" spans="2:10">
      <c r="D57" s="187"/>
      <c r="H57" s="176"/>
    </row>
    <row r="58" spans="2:10">
      <c r="D58" s="187"/>
    </row>
    <row r="59" spans="2:10">
      <c r="D59" s="187"/>
      <c r="H59" s="104"/>
    </row>
    <row r="60" spans="2:10">
      <c r="D60" s="187"/>
    </row>
    <row r="61" spans="2:10">
      <c r="D61" s="187"/>
    </row>
    <row r="62" spans="2:10">
      <c r="D62" s="187"/>
    </row>
    <row r="63" spans="2:10">
      <c r="D63" s="187"/>
      <c r="H63" s="177"/>
    </row>
    <row r="64" spans="2:10">
      <c r="D64" s="187"/>
      <c r="H64" s="221"/>
    </row>
    <row r="65" spans="2:8">
      <c r="D65" s="187"/>
      <c r="H65" s="221"/>
    </row>
    <row r="66" spans="2:8">
      <c r="D66" s="187"/>
    </row>
    <row r="74" spans="2:8">
      <c r="B74" s="180"/>
      <c r="G74" s="181"/>
    </row>
    <row r="75" spans="2:8">
      <c r="G75" s="181"/>
    </row>
    <row r="76" spans="2:8">
      <c r="B76" s="222"/>
      <c r="G76" s="223"/>
    </row>
    <row r="77" spans="2:8">
      <c r="G77" s="181"/>
    </row>
    <row r="78" spans="2:8">
      <c r="G78" s="182"/>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P1508"/>
  <sheetViews>
    <sheetView view="pageBreakPreview" topLeftCell="A72" zoomScale="70" zoomScaleNormal="100" zoomScaleSheetLayoutView="70" workbookViewId="0">
      <selection activeCell="M26" sqref="M26"/>
    </sheetView>
  </sheetViews>
  <sheetFormatPr defaultColWidth="8.85546875" defaultRowHeight="12.75"/>
  <cols>
    <col min="1" max="1" width="4.7109375" style="345" customWidth="1"/>
    <col min="2" max="2" width="6.7109375" style="427" customWidth="1"/>
    <col min="3" max="3" width="42" style="345" customWidth="1"/>
    <col min="4" max="4" width="17.7109375" style="439" customWidth="1"/>
    <col min="5" max="7" width="17.7109375" style="345" customWidth="1"/>
    <col min="8" max="8" width="17.7109375" style="607" customWidth="1"/>
    <col min="9" max="9" width="17.7109375" style="345" bestFit="1" customWidth="1"/>
    <col min="10" max="10" width="2.140625" style="329" customWidth="1"/>
    <col min="11" max="11" width="20.7109375" style="345" customWidth="1"/>
    <col min="12" max="14" width="17.7109375" style="345" customWidth="1"/>
    <col min="15" max="15" width="16.7109375" style="345" customWidth="1"/>
    <col min="16" max="16" width="2.140625" style="558" customWidth="1"/>
    <col min="17" max="16384" width="8.85546875" style="345"/>
  </cols>
  <sheetData>
    <row r="1" spans="1:16" ht="15.75">
      <c r="A1" s="886" t="s">
        <v>115</v>
      </c>
    </row>
    <row r="2" spans="1:16" ht="15.75">
      <c r="A2" s="886" t="s">
        <v>115</v>
      </c>
    </row>
    <row r="3" spans="1:16" ht="15">
      <c r="A3" s="1584" t="s">
        <v>388</v>
      </c>
      <c r="B3" s="1584"/>
      <c r="C3" s="1584"/>
      <c r="D3" s="1584"/>
      <c r="E3" s="1584"/>
      <c r="F3" s="1584"/>
      <c r="G3" s="1584"/>
      <c r="H3" s="1584"/>
      <c r="I3" s="1584"/>
      <c r="J3" s="1584"/>
      <c r="K3" s="1584"/>
      <c r="L3" s="1584"/>
      <c r="M3" s="1584"/>
      <c r="N3" s="1584"/>
      <c r="O3" s="1584"/>
      <c r="P3" s="606"/>
    </row>
    <row r="4" spans="1:16" ht="15">
      <c r="A4" s="1585" t="str">
        <f>"Cost of Service Formula Rate Using "&amp;TCOS!L4&amp;" FF1 Balances"</f>
        <v>Cost of Service Formula Rate Using 2025 FF1 Balances</v>
      </c>
      <c r="B4" s="1585"/>
      <c r="C4" s="1585"/>
      <c r="D4" s="1585"/>
      <c r="E4" s="1585"/>
      <c r="F4" s="1585"/>
      <c r="G4" s="1585"/>
      <c r="H4" s="1585"/>
      <c r="I4" s="1585"/>
      <c r="J4" s="1585"/>
      <c r="K4" s="1585"/>
      <c r="L4" s="1585"/>
      <c r="M4" s="1585"/>
      <c r="N4" s="1585"/>
      <c r="O4" s="1585"/>
      <c r="P4" s="606"/>
    </row>
    <row r="5" spans="1:16" ht="15">
      <c r="A5" s="1585" t="s">
        <v>469</v>
      </c>
      <c r="B5" s="1585"/>
      <c r="C5" s="1585"/>
      <c r="D5" s="1585"/>
      <c r="E5" s="1585"/>
      <c r="F5" s="1585"/>
      <c r="G5" s="1585"/>
      <c r="H5" s="1585"/>
      <c r="I5" s="1585"/>
      <c r="J5" s="1585"/>
      <c r="K5" s="1585"/>
      <c r="L5" s="1585"/>
      <c r="M5" s="1585"/>
      <c r="N5" s="1585"/>
      <c r="O5" s="1585"/>
      <c r="P5" s="606"/>
    </row>
    <row r="6" spans="1:16" ht="15">
      <c r="A6" s="1586" t="str">
        <f>TCOS!F9</f>
        <v xml:space="preserve">Indiana Michigan Power Company </v>
      </c>
      <c r="B6" s="1586"/>
      <c r="C6" s="1586"/>
      <c r="D6" s="1586"/>
      <c r="E6" s="1586"/>
      <c r="F6" s="1586"/>
      <c r="G6" s="1586"/>
      <c r="H6" s="1586"/>
      <c r="I6" s="1586"/>
      <c r="J6" s="1586"/>
      <c r="K6" s="1586"/>
      <c r="L6" s="1586"/>
      <c r="M6" s="1586"/>
      <c r="N6" s="1586"/>
      <c r="O6" s="1586"/>
      <c r="P6" s="606"/>
    </row>
    <row r="7" spans="1:16">
      <c r="P7" s="606"/>
    </row>
    <row r="8" spans="1:16" ht="20.25">
      <c r="A8" s="608"/>
      <c r="C8" s="427"/>
      <c r="N8" s="609" t="str">
        <f>"Page "&amp;P8&amp;" of "</f>
        <v xml:space="preserve">Page 1 of </v>
      </c>
      <c r="O8" s="610">
        <f>COUNT(P$8:P$57834)</f>
        <v>10</v>
      </c>
      <c r="P8" s="611">
        <v>1</v>
      </c>
    </row>
    <row r="9" spans="1:16" ht="18">
      <c r="C9" s="612"/>
      <c r="P9" s="606"/>
    </row>
    <row r="10" spans="1:16">
      <c r="P10" s="606"/>
    </row>
    <row r="11" spans="1:16" ht="18">
      <c r="B11" s="613" t="s">
        <v>172</v>
      </c>
      <c r="C11" s="1608" t="str">
        <f>"Calculate Return and Income Taxes with "&amp;F17&amp;" basis point ROE increase for Projects Qualified for Regional Billing."</f>
        <v>Calculate Return and Income Taxes with  basis point ROE increase for Projects Qualified for Regional Billing.</v>
      </c>
      <c r="D11" s="1609"/>
      <c r="E11" s="1609"/>
      <c r="F11" s="1609"/>
      <c r="G11" s="1609"/>
      <c r="H11" s="1609"/>
      <c r="P11" s="606"/>
    </row>
    <row r="12" spans="1:16" ht="18.75" customHeight="1">
      <c r="C12" s="1609"/>
      <c r="D12" s="1609"/>
      <c r="E12" s="1609"/>
      <c r="F12" s="1609"/>
      <c r="G12" s="1609"/>
      <c r="H12" s="1609"/>
      <c r="P12" s="606"/>
    </row>
    <row r="13" spans="1:16" ht="15.75" customHeight="1">
      <c r="C13" s="545"/>
      <c r="D13" s="545"/>
      <c r="E13" s="545"/>
      <c r="F13" s="545"/>
      <c r="G13" s="545"/>
      <c r="H13" s="545"/>
      <c r="P13" s="606"/>
    </row>
    <row r="14" spans="1:16" ht="15.75">
      <c r="C14" s="614" t="str">
        <f>"A.   Determine 'R' with hypothetical "&amp;F17&amp;" basis point increase in ROE for Identified Projects"</f>
        <v>A.   Determine 'R' with hypothetical  basis point increase in ROE for Identified Projects</v>
      </c>
      <c r="P14" s="606"/>
    </row>
    <row r="15" spans="1:16">
      <c r="C15" s="427"/>
      <c r="P15" s="606"/>
    </row>
    <row r="16" spans="1:16">
      <c r="C16" s="615" t="str">
        <f>"   ROE w/o incentives  (TCOS, ln "&amp;TCOS!B257&amp;")"</f>
        <v xml:space="preserve">   ROE w/o incentives  (TCOS, ln 156)</v>
      </c>
      <c r="E16" s="616"/>
      <c r="F16" s="617">
        <f>TCOS!J257</f>
        <v>0.10349999999999999</v>
      </c>
      <c r="G16" s="616"/>
      <c r="H16" s="618"/>
      <c r="I16" s="618"/>
      <c r="J16" s="619"/>
      <c r="K16" s="618"/>
      <c r="L16" s="618"/>
      <c r="M16" s="618"/>
      <c r="N16" s="618"/>
      <c r="O16" s="618"/>
      <c r="P16" s="619"/>
    </row>
    <row r="17" spans="3:16">
      <c r="C17" s="615" t="s">
        <v>253</v>
      </c>
      <c r="E17" s="616"/>
      <c r="F17" s="860"/>
      <c r="G17" s="620"/>
      <c r="H17" s="618"/>
      <c r="I17" s="618"/>
      <c r="J17" s="619"/>
    </row>
    <row r="18" spans="3:16">
      <c r="C18" s="615" t="str">
        <f>"   ROE with additional "&amp;F17&amp;" basis point incentive"</f>
        <v xml:space="preserve">   ROE with additional  basis point incentive</v>
      </c>
      <c r="D18" s="616"/>
      <c r="E18" s="616"/>
      <c r="F18" s="621">
        <f>IF((F16+(F17/10000)&gt;0.1274),"ERROR",F16+(F17/10000))</f>
        <v>0.10349999999999999</v>
      </c>
      <c r="G18" s="622"/>
      <c r="H18" s="618"/>
      <c r="I18" s="618"/>
      <c r="J18" s="619"/>
    </row>
    <row r="19" spans="3:16">
      <c r="C19" s="615"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16"/>
      <c r="F19" s="623"/>
      <c r="G19" s="616"/>
      <c r="H19" s="618"/>
      <c r="I19" s="618"/>
      <c r="J19" s="619"/>
    </row>
    <row r="20" spans="3:16">
      <c r="C20" s="619"/>
      <c r="D20" s="624" t="s">
        <v>147</v>
      </c>
      <c r="E20" s="624" t="s">
        <v>146</v>
      </c>
      <c r="F20" s="625" t="s">
        <v>254</v>
      </c>
      <c r="G20" s="616"/>
      <c r="H20" s="618"/>
      <c r="I20" s="618"/>
      <c r="J20" s="619"/>
    </row>
    <row r="21" spans="3:16" ht="13.5" thickBot="1">
      <c r="C21" s="626" t="s">
        <v>258</v>
      </c>
      <c r="D21" s="627">
        <f>TCOS!H255</f>
        <v>0.4567158493510543</v>
      </c>
      <c r="E21" s="628">
        <f>TCOS!J255</f>
        <v>4.5225247696157891E-2</v>
      </c>
      <c r="F21" s="629">
        <f>E21*D21</f>
        <v>2.0655087413662562E-2</v>
      </c>
      <c r="G21" s="616"/>
      <c r="H21" s="618"/>
      <c r="I21" s="630"/>
      <c r="J21" s="631"/>
      <c r="K21" s="553"/>
      <c r="L21" s="553"/>
      <c r="M21" s="553"/>
      <c r="N21" s="553"/>
      <c r="O21" s="553"/>
    </row>
    <row r="22" spans="3:16">
      <c r="C22" s="626" t="s">
        <v>259</v>
      </c>
      <c r="D22" s="627">
        <f>TCOS!H256</f>
        <v>0</v>
      </c>
      <c r="E22" s="628">
        <f>TCOS!J256</f>
        <v>0</v>
      </c>
      <c r="F22" s="629">
        <f>E22*D22</f>
        <v>0</v>
      </c>
      <c r="G22" s="632"/>
      <c r="H22" s="632"/>
      <c r="I22" s="633"/>
      <c r="J22" s="634"/>
      <c r="K22" s="1602" t="s">
        <v>452</v>
      </c>
      <c r="L22" s="1603"/>
      <c r="M22" s="1603"/>
      <c r="N22" s="1603"/>
      <c r="O22" s="1604"/>
      <c r="P22" s="634"/>
    </row>
    <row r="23" spans="3:16">
      <c r="C23" s="635" t="s">
        <v>245</v>
      </c>
      <c r="D23" s="627">
        <f>TCOS!H257</f>
        <v>0.54328415064894564</v>
      </c>
      <c r="E23" s="628">
        <f>+F18</f>
        <v>0.10349999999999999</v>
      </c>
      <c r="F23" s="636">
        <f>E23*D23</f>
        <v>5.6229909592165873E-2</v>
      </c>
      <c r="G23" s="632"/>
      <c r="H23" s="632"/>
      <c r="I23" s="633"/>
      <c r="J23" s="634"/>
      <c r="K23" s="1605"/>
      <c r="L23" s="1606"/>
      <c r="M23" s="1606"/>
      <c r="N23" s="1606"/>
      <c r="O23" s="1607"/>
      <c r="P23" s="634"/>
    </row>
    <row r="24" spans="3:16">
      <c r="C24" s="637"/>
      <c r="D24" s="345"/>
      <c r="E24" s="638" t="s">
        <v>261</v>
      </c>
      <c r="F24" s="629">
        <f>SUM(F21:F23)</f>
        <v>7.6884997005828432E-2</v>
      </c>
      <c r="G24" s="632"/>
      <c r="H24" s="632"/>
      <c r="I24" s="633"/>
      <c r="J24" s="634"/>
      <c r="K24" s="639"/>
      <c r="L24" s="640"/>
      <c r="M24" s="641" t="s">
        <v>255</v>
      </c>
      <c r="N24" s="641" t="s">
        <v>256</v>
      </c>
      <c r="O24" s="642" t="s">
        <v>257</v>
      </c>
      <c r="P24" s="634"/>
    </row>
    <row r="25" spans="3:16">
      <c r="C25" s="558"/>
      <c r="D25" s="643"/>
      <c r="E25" s="643"/>
      <c r="F25" s="632"/>
      <c r="G25" s="632"/>
      <c r="H25" s="632"/>
      <c r="I25" s="632"/>
      <c r="J25" s="644"/>
      <c r="K25" s="645"/>
      <c r="L25" s="646"/>
      <c r="M25" s="646"/>
      <c r="N25" s="646"/>
      <c r="O25" s="647"/>
      <c r="P25" s="644"/>
    </row>
    <row r="26" spans="3:16" ht="16.5" thickBot="1">
      <c r="C26" s="614" t="str">
        <f>"B.   Determine Return using 'R' with hypothetical "&amp;F17&amp;" basis point ROE increase for Identified Projects."</f>
        <v>B.   Determine Return using 'R' with hypothetical  basis point ROE increase for Identified Projects.</v>
      </c>
      <c r="D26" s="643"/>
      <c r="E26" s="643"/>
      <c r="F26" s="648"/>
      <c r="G26" s="632"/>
      <c r="H26" s="616"/>
      <c r="I26" s="632"/>
      <c r="J26" s="644"/>
      <c r="K26" s="649" t="s">
        <v>262</v>
      </c>
      <c r="L26" s="650">
        <f>TCOS!L4</f>
        <v>2025</v>
      </c>
      <c r="M26" s="861">
        <f>N90+N179+N268+N357+N446+N535+N624+N713+N802+N891+N980+N1069+N1159+N1248+N1337+N1426</f>
        <v>7354071.1877318174</v>
      </c>
      <c r="N26" s="861">
        <f>N91+N180+N269+N358+N447+N536+N625+N714+N803+N892+N981+N1070+N1160+N1249+N1338+N1427</f>
        <v>7354071.1877318174</v>
      </c>
      <c r="O26" s="651">
        <f>+N26-M26</f>
        <v>0</v>
      </c>
      <c r="P26" s="644"/>
    </row>
    <row r="27" spans="3:16">
      <c r="C27" s="619"/>
      <c r="D27" s="643"/>
      <c r="E27" s="643"/>
      <c r="F27" s="644"/>
      <c r="G27" s="644"/>
      <c r="H27" s="644"/>
      <c r="I27" s="644"/>
      <c r="J27" s="644"/>
      <c r="K27" s="652"/>
      <c r="L27" s="652"/>
      <c r="M27" s="652"/>
      <c r="N27" s="652"/>
      <c r="O27" s="652"/>
      <c r="P27" s="644"/>
    </row>
    <row r="28" spans="3:16">
      <c r="C28" s="653" t="str">
        <f>"   Rate Base  (TCOS, ln "&amp;TCOS!B125&amp;")"</f>
        <v xml:space="preserve">   Rate Base  (TCOS, ln 68)</v>
      </c>
      <c r="D28" s="616"/>
      <c r="F28" s="654">
        <f>TCOS!L125</f>
        <v>1255374227.5051672</v>
      </c>
      <c r="G28" s="644"/>
      <c r="H28" s="644"/>
      <c r="I28" s="644"/>
      <c r="J28" s="644"/>
      <c r="K28" s="652"/>
      <c r="L28" s="652"/>
      <c r="M28" s="652"/>
      <c r="N28" s="652"/>
      <c r="O28" s="655"/>
      <c r="P28" s="644"/>
    </row>
    <row r="29" spans="3:16">
      <c r="C29" s="619" t="s">
        <v>475</v>
      </c>
      <c r="D29" s="656"/>
      <c r="F29" s="629">
        <f>F24</f>
        <v>7.6884997005828432E-2</v>
      </c>
      <c r="G29" s="644"/>
      <c r="H29" s="644"/>
      <c r="I29" s="644"/>
      <c r="J29" s="644"/>
      <c r="K29" s="644"/>
      <c r="L29" s="644"/>
      <c r="M29" s="644"/>
      <c r="N29" s="644"/>
      <c r="O29" s="644"/>
      <c r="P29" s="644"/>
    </row>
    <row r="30" spans="3:16">
      <c r="C30" s="657" t="s">
        <v>263</v>
      </c>
      <c r="D30" s="657"/>
      <c r="F30" s="633">
        <f>F28*F29</f>
        <v>96519443.722928971</v>
      </c>
      <c r="G30" s="644"/>
      <c r="H30" s="644"/>
      <c r="I30" s="634"/>
      <c r="J30" s="634"/>
      <c r="K30" s="634"/>
      <c r="L30" s="634"/>
      <c r="M30" s="634"/>
      <c r="N30" s="634"/>
      <c r="O30" s="644"/>
      <c r="P30" s="634"/>
    </row>
    <row r="31" spans="3:16">
      <c r="C31" s="658"/>
      <c r="D31" s="618"/>
      <c r="E31" s="618"/>
      <c r="F31" s="644"/>
      <c r="G31" s="644"/>
      <c r="H31" s="644"/>
      <c r="I31" s="634"/>
      <c r="J31" s="634"/>
      <c r="K31" s="634"/>
      <c r="L31" s="634"/>
      <c r="M31" s="634"/>
      <c r="N31" s="634"/>
      <c r="O31" s="644"/>
      <c r="P31" s="634"/>
    </row>
    <row r="32" spans="3:16" ht="15.75">
      <c r="C32" s="614" t="str">
        <f>"C.   Determine Income Taxes using Return with hypothetical "&amp;F17&amp;" basis point ROE increase for Identified Projects."</f>
        <v>C.   Determine Income Taxes using Return with hypothetical  basis point ROE increase for Identified Projects.</v>
      </c>
      <c r="D32" s="659"/>
      <c r="E32" s="659"/>
      <c r="F32" s="660"/>
      <c r="G32" s="660"/>
      <c r="H32" s="660"/>
      <c r="I32" s="661"/>
      <c r="J32" s="661"/>
      <c r="K32" s="661"/>
      <c r="L32" s="661"/>
      <c r="M32" s="661"/>
      <c r="N32" s="661"/>
      <c r="O32" s="660"/>
      <c r="P32" s="661"/>
    </row>
    <row r="33" spans="2:16">
      <c r="C33" s="637"/>
      <c r="D33" s="618"/>
      <c r="E33" s="618"/>
      <c r="F33" s="644"/>
      <c r="G33" s="644"/>
      <c r="H33" s="644"/>
      <c r="I33" s="634"/>
      <c r="J33" s="634"/>
      <c r="K33" s="634"/>
      <c r="L33" s="634"/>
      <c r="M33" s="634"/>
      <c r="N33" s="634"/>
      <c r="O33" s="644"/>
      <c r="P33" s="634"/>
    </row>
    <row r="34" spans="2:16">
      <c r="C34" s="619" t="s">
        <v>264</v>
      </c>
      <c r="D34" s="638"/>
      <c r="F34" s="662">
        <f>F30</f>
        <v>96519443.722928971</v>
      </c>
      <c r="G34" s="644"/>
      <c r="H34" s="644"/>
      <c r="I34" s="644"/>
      <c r="J34" s="644"/>
      <c r="K34" s="644"/>
      <c r="L34" s="644"/>
      <c r="M34" s="644"/>
      <c r="N34" s="644"/>
      <c r="O34" s="644"/>
      <c r="P34" s="644"/>
    </row>
    <row r="35" spans="2:16">
      <c r="C35" s="653" t="str">
        <f>"   Effective Tax Rate  (TCOS, ln "&amp;TCOS!B190&amp;")"</f>
        <v xml:space="preserve">   Effective Tax Rate  (TCOS, ln 114)</v>
      </c>
      <c r="D35" s="581"/>
      <c r="F35" s="663">
        <f>TCOS!G190</f>
        <v>0.24330222329224549</v>
      </c>
      <c r="G35" s="558"/>
      <c r="H35" s="664"/>
      <c r="I35" s="558"/>
      <c r="J35" s="606"/>
      <c r="K35" s="558"/>
      <c r="L35" s="558"/>
      <c r="M35" s="558"/>
      <c r="N35" s="558"/>
      <c r="O35" s="558"/>
      <c r="P35" s="606"/>
    </row>
    <row r="36" spans="2:16">
      <c r="C36" s="658" t="s">
        <v>265</v>
      </c>
      <c r="D36" s="581"/>
      <c r="F36" s="665">
        <f>F34*F35</f>
        <v>23483395.248719387</v>
      </c>
      <c r="G36" s="558"/>
      <c r="H36" s="664"/>
      <c r="I36" s="558"/>
      <c r="J36" s="606"/>
      <c r="K36" s="558"/>
      <c r="L36" s="558"/>
      <c r="M36" s="558"/>
      <c r="N36" s="558"/>
      <c r="O36" s="558"/>
      <c r="P36" s="606"/>
    </row>
    <row r="37" spans="2:16" ht="15">
      <c r="C37" s="637" t="s">
        <v>303</v>
      </c>
      <c r="D37" s="491"/>
      <c r="F37" s="666">
        <f>TCOS!L199</f>
        <v>335926.14796766505</v>
      </c>
      <c r="G37" s="491"/>
      <c r="H37" s="491"/>
      <c r="I37" s="491"/>
      <c r="J37" s="491"/>
      <c r="K37" s="491"/>
      <c r="L37" s="491"/>
      <c r="M37" s="491"/>
      <c r="N37" s="491"/>
      <c r="O37" s="403"/>
      <c r="P37" s="491"/>
    </row>
    <row r="38" spans="2:16" ht="15">
      <c r="C38" s="637" t="s">
        <v>534</v>
      </c>
      <c r="D38" s="491"/>
      <c r="F38" s="666">
        <f>TCOS!L200</f>
        <v>-4300728.7747732066</v>
      </c>
      <c r="G38" s="491"/>
      <c r="H38" s="491"/>
      <c r="I38" s="491"/>
      <c r="J38" s="491"/>
      <c r="K38" s="491"/>
      <c r="L38" s="491"/>
      <c r="M38" s="491"/>
      <c r="N38" s="491"/>
      <c r="O38" s="403"/>
      <c r="P38" s="491"/>
    </row>
    <row r="39" spans="2:16" ht="15">
      <c r="C39" s="637" t="s">
        <v>535</v>
      </c>
      <c r="D39" s="491"/>
      <c r="F39" s="667">
        <f>TCOS!L201</f>
        <v>3036788.1780055165</v>
      </c>
      <c r="G39" s="491"/>
      <c r="H39" s="491"/>
      <c r="I39" s="491"/>
      <c r="J39" s="491"/>
      <c r="K39" s="491"/>
      <c r="L39" s="491"/>
      <c r="M39" s="491"/>
      <c r="N39" s="491"/>
      <c r="O39" s="403"/>
      <c r="P39" s="491"/>
    </row>
    <row r="40" spans="2:16" ht="15">
      <c r="C40" s="658" t="s">
        <v>266</v>
      </c>
      <c r="D40" s="491"/>
      <c r="F40" s="666">
        <f>F36+F37+F38+F39</f>
        <v>22555380.799919363</v>
      </c>
      <c r="G40" s="491"/>
      <c r="H40" s="491"/>
      <c r="I40" s="491"/>
      <c r="J40" s="491"/>
      <c r="K40" s="491"/>
      <c r="L40" s="491"/>
      <c r="M40" s="491"/>
      <c r="N40" s="491"/>
      <c r="O40" s="361"/>
      <c r="P40" s="491"/>
    </row>
    <row r="41" spans="2:16" ht="12.75" customHeight="1">
      <c r="C41" s="411"/>
      <c r="D41" s="491"/>
      <c r="E41" s="491"/>
      <c r="F41" s="491"/>
      <c r="G41" s="491"/>
      <c r="H41" s="491"/>
      <c r="I41" s="491"/>
      <c r="J41" s="491"/>
      <c r="K41" s="491"/>
      <c r="L41" s="491"/>
      <c r="M41" s="491"/>
      <c r="N41" s="491"/>
      <c r="O41" s="361"/>
      <c r="P41" s="491"/>
    </row>
    <row r="42" spans="2:16" ht="18.75">
      <c r="B42" s="613" t="s">
        <v>173</v>
      </c>
      <c r="C42" s="612" t="str">
        <f>"Calculate Net Plant Carrying Charge Rate (Fixed Charge Rate or FCR) with hypothetical "&amp;F17&amp;""</f>
        <v xml:space="preserve">Calculate Net Plant Carrying Charge Rate (Fixed Charge Rate or FCR) with hypothetical </v>
      </c>
      <c r="D42" s="491"/>
      <c r="E42" s="491"/>
      <c r="F42" s="491"/>
      <c r="G42" s="491"/>
      <c r="H42" s="491"/>
      <c r="I42" s="491"/>
      <c r="J42" s="491"/>
      <c r="K42" s="491"/>
      <c r="L42" s="491"/>
      <c r="M42" s="491"/>
      <c r="N42" s="491"/>
      <c r="O42" s="361"/>
      <c r="P42" s="491"/>
    </row>
    <row r="43" spans="2:16" ht="18.75" customHeight="1">
      <c r="C43" s="612" t="str">
        <f>"basis point ROE increase."</f>
        <v>basis point ROE increase.</v>
      </c>
      <c r="D43" s="491"/>
      <c r="E43" s="491"/>
      <c r="F43" s="491"/>
      <c r="G43" s="491"/>
      <c r="H43" s="491"/>
      <c r="I43" s="491"/>
      <c r="J43" s="491"/>
      <c r="K43" s="491"/>
      <c r="L43" s="491"/>
      <c r="M43" s="491"/>
      <c r="N43" s="491"/>
      <c r="O43" s="361"/>
      <c r="P43" s="491"/>
    </row>
    <row r="44" spans="2:16" ht="12.75" customHeight="1">
      <c r="C44" s="612"/>
      <c r="D44" s="491"/>
      <c r="E44" s="491"/>
      <c r="F44" s="491"/>
      <c r="G44" s="491"/>
      <c r="H44" s="491"/>
      <c r="I44" s="491"/>
      <c r="J44" s="491"/>
      <c r="K44" s="491"/>
      <c r="L44" s="491"/>
      <c r="M44" s="491"/>
      <c r="N44" s="491"/>
      <c r="O44" s="361"/>
      <c r="P44" s="491"/>
    </row>
    <row r="45" spans="2:16" ht="15.75">
      <c r="C45" s="614" t="s">
        <v>466</v>
      </c>
      <c r="D45" s="491"/>
      <c r="E45" s="491"/>
      <c r="F45" s="490"/>
      <c r="G45" s="491"/>
      <c r="H45" s="491"/>
      <c r="I45" s="491"/>
      <c r="J45" s="491"/>
      <c r="K45" s="491"/>
      <c r="L45" s="491"/>
      <c r="M45" s="491"/>
      <c r="N45" s="491"/>
      <c r="O45" s="361"/>
      <c r="P45" s="491"/>
    </row>
    <row r="46" spans="2:16">
      <c r="B46" s="594"/>
      <c r="C46" s="615"/>
      <c r="D46" s="668"/>
      <c r="E46" s="668"/>
      <c r="F46" s="668"/>
      <c r="G46" s="668"/>
      <c r="H46" s="668"/>
      <c r="I46" s="668"/>
      <c r="J46" s="668"/>
      <c r="K46" s="668"/>
      <c r="L46" s="668"/>
      <c r="M46" s="668"/>
      <c r="N46" s="668"/>
      <c r="O46" s="666"/>
      <c r="P46" s="668"/>
    </row>
    <row r="47" spans="2:16" ht="12.75" customHeight="1">
      <c r="B47" s="594"/>
      <c r="C47" s="653" t="str">
        <f>"   Annual Revenue Requirement  (TCOS, ln "&amp;TCOS!B13&amp;")"</f>
        <v xml:space="preserve">   Annual Revenue Requirement  (TCOS, ln 1)</v>
      </c>
      <c r="D47" s="668"/>
      <c r="E47" s="668"/>
      <c r="G47" s="666">
        <f>TCOS!L13</f>
        <v>222506652.50003731</v>
      </c>
      <c r="H47" s="668"/>
      <c r="I47" s="668"/>
      <c r="J47" s="668"/>
      <c r="K47" s="668"/>
      <c r="L47" s="668"/>
      <c r="M47" s="668"/>
      <c r="N47" s="668"/>
      <c r="O47" s="666"/>
      <c r="P47" s="668"/>
    </row>
    <row r="48" spans="2:16" ht="12.75" customHeight="1">
      <c r="B48" s="594"/>
      <c r="C48" s="653" t="str">
        <f>"   Lease Payments (TCOS, Ln "&amp;TCOS!B168&amp;")"</f>
        <v xml:space="preserve">   Lease Payments (TCOS, Ln 95)</v>
      </c>
      <c r="D48" s="668"/>
      <c r="E48" s="668"/>
      <c r="G48" s="666">
        <f>TCOS!L168</f>
        <v>0</v>
      </c>
      <c r="H48" s="668"/>
      <c r="I48" s="668"/>
      <c r="J48" s="668"/>
      <c r="K48" s="668"/>
      <c r="L48" s="668"/>
      <c r="M48" s="668"/>
      <c r="N48" s="668"/>
      <c r="O48" s="666"/>
      <c r="P48" s="668"/>
    </row>
    <row r="49" spans="2:16">
      <c r="B49" s="594"/>
      <c r="C49" s="653" t="str">
        <f>"   Return  (TCOS, ln "&amp;TCOS!B205&amp;")"</f>
        <v xml:space="preserve">   Return  (TCOS, ln 126)</v>
      </c>
      <c r="D49" s="668"/>
      <c r="E49" s="668"/>
      <c r="G49" s="669">
        <f>TCOS!L205</f>
        <v>96519443.722928971</v>
      </c>
      <c r="H49" s="670"/>
      <c r="I49" s="670"/>
      <c r="J49" s="670"/>
      <c r="K49" s="670"/>
      <c r="L49" s="670"/>
      <c r="M49" s="670"/>
      <c r="N49" s="670"/>
      <c r="O49" s="666"/>
      <c r="P49" s="670"/>
    </row>
    <row r="50" spans="2:16">
      <c r="B50" s="594"/>
      <c r="C50" s="653" t="str">
        <f>"   Income Taxes  (TCOS, ln "&amp;TCOS!B203&amp;")"</f>
        <v xml:space="preserve">   Income Taxes  (TCOS, ln 125)</v>
      </c>
      <c r="D50" s="668"/>
      <c r="E50" s="668"/>
      <c r="G50" s="671">
        <f>TCOS!L203</f>
        <v>22555380.799919363</v>
      </c>
      <c r="H50" s="668"/>
      <c r="I50" s="672"/>
      <c r="J50" s="672"/>
      <c r="K50" s="672"/>
      <c r="L50" s="672"/>
      <c r="M50" s="672"/>
      <c r="N50" s="672"/>
      <c r="O50" s="668"/>
      <c r="P50" s="672"/>
    </row>
    <row r="51" spans="2:16">
      <c r="B51" s="594"/>
      <c r="C51" s="673" t="s">
        <v>592</v>
      </c>
      <c r="D51" s="668"/>
      <c r="E51" s="668"/>
      <c r="G51" s="669">
        <f>G47-G49-G50-G48</f>
        <v>103431827.97718897</v>
      </c>
      <c r="H51" s="668"/>
      <c r="I51" s="674"/>
      <c r="J51" s="674"/>
      <c r="K51" s="674"/>
      <c r="L51" s="674"/>
      <c r="M51" s="674"/>
      <c r="N51" s="674"/>
      <c r="O51" s="674"/>
      <c r="P51" s="674"/>
    </row>
    <row r="52" spans="2:16">
      <c r="B52" s="594"/>
      <c r="C52" s="615"/>
      <c r="D52" s="668"/>
      <c r="E52" s="668"/>
      <c r="F52" s="666"/>
      <c r="G52" s="675"/>
      <c r="H52" s="676"/>
      <c r="I52" s="676"/>
      <c r="J52" s="676"/>
      <c r="K52" s="676"/>
      <c r="L52" s="676"/>
      <c r="M52" s="676"/>
      <c r="N52" s="676"/>
      <c r="O52" s="676"/>
      <c r="P52" s="676"/>
    </row>
    <row r="53" spans="2:16" ht="15.75">
      <c r="B53" s="594"/>
      <c r="C53" s="614" t="str">
        <f>"B.   Determine Annual Revenue Requirement with hypothetical "&amp;F17&amp;" basis point increase in ROE."</f>
        <v>B.   Determine Annual Revenue Requirement with hypothetical  basis point increase in ROE.</v>
      </c>
      <c r="D53" s="677"/>
      <c r="E53" s="677"/>
      <c r="F53" s="666"/>
      <c r="G53" s="675"/>
      <c r="H53" s="676"/>
      <c r="I53" s="676"/>
      <c r="J53" s="676"/>
      <c r="K53" s="676"/>
      <c r="L53" s="676"/>
      <c r="M53" s="676"/>
      <c r="N53" s="676"/>
      <c r="O53" s="676"/>
      <c r="P53" s="676"/>
    </row>
    <row r="54" spans="2:16">
      <c r="B54" s="594"/>
      <c r="C54" s="615"/>
      <c r="D54" s="677"/>
      <c r="E54" s="677"/>
      <c r="F54" s="666"/>
      <c r="G54" s="675"/>
      <c r="H54" s="676"/>
      <c r="I54" s="676"/>
      <c r="J54" s="676"/>
      <c r="K54" s="676"/>
      <c r="L54" s="676"/>
      <c r="M54" s="676"/>
      <c r="N54" s="676"/>
      <c r="O54" s="676"/>
      <c r="P54" s="676"/>
    </row>
    <row r="55" spans="2:16">
      <c r="B55" s="594"/>
      <c r="C55" s="615" t="str">
        <f>C51</f>
        <v xml:space="preserve">   Annual Revenue Requirement, Less Lease Payments, Return and Taxes</v>
      </c>
      <c r="D55" s="677"/>
      <c r="E55" s="677"/>
      <c r="G55" s="666">
        <f>G51</f>
        <v>103431827.97718897</v>
      </c>
      <c r="H55" s="668"/>
      <c r="I55" s="668"/>
      <c r="J55" s="668"/>
      <c r="K55" s="668"/>
      <c r="L55" s="668"/>
      <c r="M55" s="668"/>
      <c r="N55" s="668"/>
      <c r="O55" s="678"/>
      <c r="P55" s="668"/>
    </row>
    <row r="56" spans="2:16">
      <c r="B56" s="594"/>
      <c r="C56" s="619" t="s">
        <v>300</v>
      </c>
      <c r="D56" s="679"/>
      <c r="E56" s="673"/>
      <c r="G56" s="680">
        <f>F30</f>
        <v>96519443.722928971</v>
      </c>
      <c r="H56" s="681"/>
      <c r="I56" s="673"/>
      <c r="J56" s="673"/>
      <c r="K56" s="673"/>
      <c r="L56" s="673"/>
      <c r="M56" s="673"/>
      <c r="N56" s="673"/>
      <c r="O56" s="673"/>
      <c r="P56" s="673"/>
    </row>
    <row r="57" spans="2:16" ht="12.75" customHeight="1">
      <c r="B57" s="594"/>
      <c r="C57" s="637" t="s">
        <v>267</v>
      </c>
      <c r="D57" s="668"/>
      <c r="E57" s="668"/>
      <c r="G57" s="671">
        <f>F40</f>
        <v>22555380.799919363</v>
      </c>
      <c r="H57" s="664"/>
      <c r="I57" s="558"/>
      <c r="J57" s="606"/>
      <c r="K57" s="558"/>
      <c r="L57" s="558"/>
      <c r="M57" s="558"/>
      <c r="N57" s="558"/>
      <c r="O57" s="558"/>
      <c r="P57" s="606"/>
    </row>
    <row r="58" spans="2:16">
      <c r="B58" s="594"/>
      <c r="C58" s="673" t="str">
        <f>"   Annual Revenue Requirement, with "&amp;F17&amp;" Basis Point ROE increase"</f>
        <v xml:space="preserve">   Annual Revenue Requirement, with  Basis Point ROE increase</v>
      </c>
      <c r="D58" s="581"/>
      <c r="E58" s="558"/>
      <c r="G58" s="665">
        <f>SUM(G55:G57)</f>
        <v>222506652.50003731</v>
      </c>
      <c r="H58" s="664"/>
      <c r="I58" s="558"/>
      <c r="J58" s="606"/>
      <c r="K58" s="558"/>
      <c r="L58" s="558"/>
      <c r="M58" s="558"/>
      <c r="N58" s="558"/>
      <c r="O58" s="558"/>
      <c r="P58" s="606"/>
    </row>
    <row r="59" spans="2:16">
      <c r="B59" s="594"/>
      <c r="C59" s="653" t="str">
        <f>"   Depreciation  (TCOS, ln "&amp;TCOS!B174&amp;")"</f>
        <v xml:space="preserve">   Depreciation  (TCOS, ln 100)</v>
      </c>
      <c r="D59" s="581"/>
      <c r="E59" s="558"/>
      <c r="G59" s="682">
        <f>TCOS!L174</f>
        <v>50610583.345770106</v>
      </c>
      <c r="H59" s="664"/>
      <c r="I59" s="558"/>
      <c r="J59" s="606"/>
      <c r="K59" s="558"/>
      <c r="L59" s="558"/>
      <c r="M59" s="558"/>
      <c r="N59" s="558"/>
      <c r="O59" s="558"/>
      <c r="P59" s="606"/>
    </row>
    <row r="60" spans="2:16">
      <c r="B60" s="594"/>
      <c r="C60" s="673" t="str">
        <f>"   Annual Rev. Req, w/"&amp;F17&amp;" Basis Point ROE increase, less Depreciation"</f>
        <v xml:space="preserve">   Annual Rev. Req, w/ Basis Point ROE increase, less Depreciation</v>
      </c>
      <c r="D60" s="581"/>
      <c r="E60" s="558"/>
      <c r="G60" s="665">
        <f>G58-G59</f>
        <v>171896069.15426719</v>
      </c>
      <c r="H60" s="664"/>
      <c r="I60" s="558"/>
      <c r="J60" s="606"/>
      <c r="K60" s="558"/>
      <c r="L60" s="558"/>
      <c r="M60" s="558"/>
      <c r="N60" s="558"/>
      <c r="O60" s="558"/>
      <c r="P60" s="606"/>
    </row>
    <row r="61" spans="2:16">
      <c r="B61" s="594"/>
      <c r="C61" s="558"/>
      <c r="D61" s="581"/>
      <c r="E61" s="558"/>
      <c r="F61" s="558"/>
      <c r="G61" s="558"/>
      <c r="H61" s="664"/>
      <c r="I61" s="558"/>
      <c r="J61" s="606"/>
      <c r="K61" s="558"/>
      <c r="L61" s="558"/>
      <c r="M61" s="558"/>
      <c r="N61" s="558"/>
      <c r="O61" s="558"/>
      <c r="P61" s="606"/>
    </row>
    <row r="62" spans="2:16" ht="15.75">
      <c r="B62" s="594"/>
      <c r="C62" s="614" t="str">
        <f>"C.   Determine FCR with hypothetical "&amp;F17&amp;" basis point ROE increase."</f>
        <v>C.   Determine FCR with hypothetical  basis point ROE increase.</v>
      </c>
      <c r="D62" s="581"/>
      <c r="E62" s="558"/>
      <c r="F62" s="558"/>
      <c r="G62" s="558"/>
      <c r="H62" s="664"/>
      <c r="I62" s="558"/>
      <c r="J62" s="606"/>
      <c r="K62" s="558"/>
      <c r="L62" s="558"/>
      <c r="M62" s="558"/>
      <c r="N62" s="558"/>
      <c r="O62" s="558"/>
      <c r="P62" s="606"/>
    </row>
    <row r="63" spans="2:16">
      <c r="B63" s="594"/>
      <c r="C63" s="558"/>
      <c r="D63" s="581"/>
      <c r="E63" s="558"/>
      <c r="F63" s="558"/>
      <c r="G63" s="558"/>
      <c r="H63" s="664"/>
      <c r="I63" s="558"/>
      <c r="J63" s="606"/>
      <c r="K63" s="558"/>
      <c r="L63" s="558"/>
      <c r="M63" s="558"/>
      <c r="N63" s="558"/>
      <c r="O63" s="558"/>
      <c r="P63" s="606"/>
    </row>
    <row r="64" spans="2:16">
      <c r="B64" s="594"/>
      <c r="C64" s="653" t="str">
        <f>"   Net Transmission Plant  (TCOS, ln "&amp;TCOS!B91&amp;")"</f>
        <v xml:space="preserve">   Net Transmission Plant  (TCOS, ln 42)</v>
      </c>
      <c r="D64" s="581"/>
      <c r="E64" s="558"/>
      <c r="G64" s="665">
        <f>TCOS!L91</f>
        <v>1455643798.7843056</v>
      </c>
      <c r="H64" s="683"/>
      <c r="I64" s="558"/>
      <c r="J64" s="606"/>
      <c r="K64" s="558"/>
      <c r="L64" s="558"/>
      <c r="M64" s="558"/>
      <c r="N64" s="558"/>
      <c r="O64" s="558"/>
      <c r="P64" s="606"/>
    </row>
    <row r="65" spans="2:16">
      <c r="B65" s="594"/>
      <c r="C65" s="673" t="str">
        <f>"   Annual Revenue Requirement, with "&amp;F17&amp;" Basis Point ROE increase"</f>
        <v xml:space="preserve">   Annual Revenue Requirement, with  Basis Point ROE increase</v>
      </c>
      <c r="D65" s="581"/>
      <c r="E65" s="558"/>
      <c r="G65" s="665">
        <f>G58</f>
        <v>222506652.50003731</v>
      </c>
      <c r="H65" s="664"/>
      <c r="I65" s="558"/>
      <c r="J65" s="606"/>
      <c r="K65" s="558"/>
      <c r="L65" s="558"/>
      <c r="M65" s="558"/>
      <c r="N65" s="558"/>
      <c r="O65" s="558"/>
      <c r="P65" s="606"/>
    </row>
    <row r="66" spans="2:16">
      <c r="B66" s="594"/>
      <c r="C66" s="673" t="str">
        <f>"   FCR with "&amp;F17&amp;" Basis Point increase in ROE"</f>
        <v xml:space="preserve">   FCR with  Basis Point increase in ROE</v>
      </c>
      <c r="D66" s="581"/>
      <c r="E66" s="558"/>
      <c r="G66" s="663">
        <f>G65/G64</f>
        <v>0.15285789881141651</v>
      </c>
      <c r="H66" s="664"/>
      <c r="I66" s="558"/>
      <c r="J66" s="606"/>
      <c r="K66" s="558"/>
      <c r="L66" s="558"/>
      <c r="M66" s="558"/>
      <c r="N66" s="558"/>
      <c r="O66" s="558"/>
      <c r="P66" s="606"/>
    </row>
    <row r="67" spans="2:16">
      <c r="B67" s="594"/>
      <c r="C67" s="383"/>
      <c r="D67" s="581"/>
      <c r="E67" s="558"/>
      <c r="G67" s="594"/>
      <c r="H67" s="664"/>
      <c r="I67" s="558"/>
      <c r="J67" s="606"/>
      <c r="K67" s="558"/>
      <c r="L67" s="558"/>
      <c r="M67" s="558"/>
      <c r="N67" s="558"/>
      <c r="O67" s="558"/>
      <c r="P67" s="606"/>
    </row>
    <row r="68" spans="2:16">
      <c r="B68" s="594"/>
      <c r="C68" s="673" t="str">
        <f>"   Annual Rev. Req, w / "&amp;F17&amp;" Basis Point ROE increase, less Dep."</f>
        <v xml:space="preserve">   Annual Rev. Req, w /  Basis Point ROE increase, less Dep.</v>
      </c>
      <c r="D68" s="581"/>
      <c r="E68" s="558"/>
      <c r="G68" s="665">
        <f>G60</f>
        <v>171896069.15426719</v>
      </c>
      <c r="H68" s="664"/>
      <c r="I68" s="558"/>
      <c r="J68" s="606"/>
      <c r="K68" s="558"/>
      <c r="L68" s="558"/>
      <c r="M68" s="558"/>
      <c r="N68" s="558"/>
      <c r="O68" s="558"/>
      <c r="P68" s="606"/>
    </row>
    <row r="69" spans="2:16">
      <c r="B69" s="594"/>
      <c r="C69" s="673" t="str">
        <f>"   FCR with "&amp;F17&amp;" Basis Point ROE increase, less Depreciation"</f>
        <v xml:space="preserve">   FCR with  Basis Point ROE increase, less Depreciation</v>
      </c>
      <c r="D69" s="581"/>
      <c r="E69" s="558"/>
      <c r="G69" s="663">
        <f>G68/G64</f>
        <v>0.11808937687765908</v>
      </c>
      <c r="H69" s="664"/>
      <c r="I69" s="558"/>
      <c r="J69" s="606"/>
      <c r="K69" s="558"/>
      <c r="L69" s="558"/>
      <c r="M69" s="558"/>
      <c r="N69" s="558"/>
      <c r="O69" s="558"/>
      <c r="P69" s="606"/>
    </row>
    <row r="70" spans="2:16">
      <c r="B70" s="594"/>
      <c r="C70" s="653" t="str">
        <f>"   FCR less Depreciation  (TCOS, ln "&amp;TCOS!B34&amp;")"</f>
        <v xml:space="preserve">   FCR less Depreciation  (TCOS, ln 10)</v>
      </c>
      <c r="D70" s="581"/>
      <c r="E70" s="558"/>
      <c r="G70" s="684">
        <f>TCOS!L34</f>
        <v>0.11808937687765908</v>
      </c>
      <c r="H70" s="664"/>
      <c r="I70" s="558"/>
      <c r="J70" s="606"/>
      <c r="K70" s="558"/>
      <c r="L70" s="558"/>
      <c r="M70" s="558"/>
      <c r="N70" s="558"/>
      <c r="O70" s="558"/>
      <c r="P70" s="606"/>
    </row>
    <row r="71" spans="2:16">
      <c r="B71" s="594"/>
      <c r="C71" s="673" t="str">
        <f>"   Incremental FCR with "&amp;F17&amp;" Basis Point ROE increase, less Depreciation"</f>
        <v xml:space="preserve">   Incremental FCR with  Basis Point ROE increase, less Depreciation</v>
      </c>
      <c r="D71" s="581"/>
      <c r="E71" s="558"/>
      <c r="G71" s="663">
        <f>G69-G70</f>
        <v>0</v>
      </c>
      <c r="H71" s="664"/>
      <c r="I71" s="558"/>
      <c r="J71" s="606"/>
      <c r="K71" s="558"/>
      <c r="L71" s="558"/>
      <c r="M71" s="558"/>
      <c r="N71" s="558"/>
      <c r="O71" s="558"/>
      <c r="P71" s="606"/>
    </row>
    <row r="72" spans="2:16">
      <c r="B72" s="594"/>
      <c r="C72" s="673"/>
      <c r="D72" s="581"/>
      <c r="E72" s="558"/>
      <c r="F72" s="663"/>
      <c r="G72" s="558"/>
      <c r="H72" s="664"/>
      <c r="I72" s="558"/>
      <c r="J72" s="606"/>
      <c r="K72" s="558"/>
      <c r="L72" s="558"/>
      <c r="M72" s="558"/>
      <c r="N72" s="558"/>
      <c r="O72" s="558"/>
      <c r="P72" s="606"/>
    </row>
    <row r="73" spans="2:16" ht="18.75">
      <c r="B73" s="613" t="s">
        <v>174</v>
      </c>
      <c r="C73" s="612" t="s">
        <v>268</v>
      </c>
      <c r="D73" s="581"/>
      <c r="E73" s="558"/>
      <c r="F73" s="663"/>
      <c r="G73" s="558"/>
      <c r="H73" s="664"/>
      <c r="I73" s="558"/>
      <c r="J73" s="606"/>
      <c r="K73" s="558"/>
      <c r="L73" s="558"/>
      <c r="M73" s="558"/>
      <c r="N73" s="558"/>
      <c r="O73" s="558"/>
      <c r="P73" s="606"/>
    </row>
    <row r="74" spans="2:16">
      <c r="B74" s="594"/>
      <c r="C74" s="673"/>
      <c r="D74" s="581"/>
      <c r="E74" s="558"/>
      <c r="F74" s="663"/>
      <c r="G74" s="558"/>
      <c r="H74" s="664"/>
      <c r="I74" s="558"/>
      <c r="J74" s="606"/>
      <c r="K74" s="558"/>
      <c r="L74" s="558"/>
      <c r="M74" s="558"/>
      <c r="N74" s="558"/>
      <c r="O74" s="558"/>
      <c r="P74" s="606"/>
    </row>
    <row r="75" spans="2:16">
      <c r="B75" s="594"/>
      <c r="C75" s="673" t="str">
        <f>+"Average Transmission Plant Balance for "&amp;TCOS!L4&amp;" (TCOS, ln "&amp;TCOS!B68&amp;")"</f>
        <v>Average Transmission Plant Balance for 2025 (TCOS, ln 21)</v>
      </c>
      <c r="D75" s="581"/>
      <c r="G75" s="664">
        <f>TCOS!L68</f>
        <v>1933881822.3947282</v>
      </c>
      <c r="I75" s="558"/>
      <c r="J75" s="606"/>
      <c r="K75" s="687"/>
      <c r="L75" s="558"/>
      <c r="M75" s="558"/>
      <c r="N75" s="558"/>
      <c r="O75" s="558"/>
      <c r="P75" s="606"/>
    </row>
    <row r="76" spans="2:16">
      <c r="B76" s="594"/>
      <c r="C76" s="685" t="str">
        <f>"Annual Depreciation and Amortization Expense  (TCOS, ln "&amp;TCOS!B174&amp;")"</f>
        <v>Annual Depreciation and Amortization Expense  (TCOS, ln 100)</v>
      </c>
      <c r="D76" s="581"/>
      <c r="E76" s="558"/>
      <c r="G76" s="686">
        <f>TCOS!L174</f>
        <v>50610583.345770106</v>
      </c>
      <c r="H76" s="664"/>
      <c r="I76" s="558"/>
      <c r="J76" s="606"/>
      <c r="K76" s="558"/>
      <c r="L76" s="558"/>
      <c r="M76" s="558"/>
      <c r="N76" s="558"/>
      <c r="O76" s="558"/>
      <c r="P76" s="606"/>
    </row>
    <row r="77" spans="2:16">
      <c r="B77" s="594"/>
      <c r="C77" s="673" t="s">
        <v>269</v>
      </c>
      <c r="D77" s="581"/>
      <c r="E77" s="558"/>
      <c r="G77" s="663">
        <f>+G76/G75</f>
        <v>2.6170463344600322E-2</v>
      </c>
      <c r="H77" s="688"/>
      <c r="I77" s="558"/>
      <c r="J77" s="606"/>
      <c r="K77" s="558"/>
      <c r="L77" s="558"/>
      <c r="M77" s="558"/>
      <c r="N77" s="558"/>
      <c r="O77" s="558"/>
      <c r="P77" s="606"/>
    </row>
    <row r="78" spans="2:16">
      <c r="B78" s="594"/>
      <c r="C78" s="673" t="s">
        <v>270</v>
      </c>
      <c r="D78" s="581"/>
      <c r="E78" s="558"/>
      <c r="G78" s="688">
        <f>1/G77</f>
        <v>38.211016245011464</v>
      </c>
      <c r="H78" s="664"/>
      <c r="I78" s="558"/>
      <c r="J78" s="606"/>
      <c r="K78" s="558"/>
      <c r="L78" s="558"/>
      <c r="M78" s="558"/>
      <c r="N78" s="558"/>
      <c r="O78" s="558"/>
      <c r="P78" s="606"/>
    </row>
    <row r="79" spans="2:16">
      <c r="B79" s="594"/>
      <c r="C79" s="673" t="s">
        <v>271</v>
      </c>
      <c r="D79" s="581"/>
      <c r="E79" s="558"/>
      <c r="G79" s="689">
        <f>ROUND(G78,0)</f>
        <v>38</v>
      </c>
      <c r="H79" s="664"/>
      <c r="I79" s="558"/>
      <c r="J79" s="606"/>
      <c r="K79" s="558"/>
      <c r="L79" s="558"/>
      <c r="M79" s="558"/>
      <c r="N79" s="558"/>
      <c r="O79" s="558"/>
      <c r="P79" s="606"/>
    </row>
    <row r="80" spans="2:16">
      <c r="B80" s="594"/>
      <c r="C80" s="673"/>
      <c r="D80" s="581"/>
      <c r="E80" s="558"/>
      <c r="G80" s="689"/>
      <c r="H80" s="664"/>
      <c r="I80" s="558"/>
      <c r="J80" s="606"/>
      <c r="K80" s="558"/>
      <c r="L80" s="558"/>
      <c r="M80" s="558"/>
      <c r="N80" s="558"/>
      <c r="O80" s="558"/>
      <c r="P80" s="606"/>
    </row>
    <row r="81" spans="1:16">
      <c r="C81" s="690"/>
      <c r="D81" s="691"/>
      <c r="E81" s="691"/>
      <c r="F81" s="691"/>
      <c r="G81" s="687"/>
      <c r="H81" s="687"/>
      <c r="I81" s="692"/>
      <c r="J81" s="692"/>
      <c r="K81" s="692"/>
      <c r="L81" s="692"/>
      <c r="M81" s="692"/>
      <c r="N81" s="692"/>
      <c r="O81" s="558"/>
      <c r="P81" s="692"/>
    </row>
    <row r="82" spans="1:16">
      <c r="B82" s="345"/>
    </row>
    <row r="84" spans="1:16" ht="20.25">
      <c r="A84" s="693" t="s">
        <v>923</v>
      </c>
      <c r="B84" s="594"/>
      <c r="C84" s="673"/>
      <c r="D84" s="581"/>
      <c r="E84" s="558"/>
      <c r="F84" s="663"/>
      <c r="G84" s="558"/>
      <c r="H84" s="1210"/>
      <c r="K84" s="694"/>
      <c r="L84" s="694"/>
      <c r="M84" s="694"/>
      <c r="N84" s="609" t="str">
        <f>"Page "&amp;P84&amp;" of "</f>
        <v xml:space="preserve">Page 2 of </v>
      </c>
      <c r="O84" s="610">
        <f>COUNT(P$6:P$59527)</f>
        <v>10</v>
      </c>
      <c r="P84" s="685">
        <v>2</v>
      </c>
    </row>
    <row r="85" spans="1:16">
      <c r="B85" s="594"/>
      <c r="C85" s="558"/>
      <c r="D85" s="581"/>
      <c r="E85" s="558"/>
      <c r="F85" s="558"/>
      <c r="G85" s="558"/>
      <c r="H85" s="1210"/>
      <c r="I85" s="558"/>
      <c r="J85" s="606"/>
      <c r="K85" s="558"/>
      <c r="L85" s="558"/>
      <c r="M85" s="558"/>
      <c r="N85" s="558"/>
      <c r="O85" s="558"/>
      <c r="P85" s="606"/>
    </row>
    <row r="86" spans="1:16" ht="18">
      <c r="B86" s="613" t="s">
        <v>175</v>
      </c>
      <c r="C86" s="695" t="s">
        <v>291</v>
      </c>
      <c r="D86" s="581"/>
      <c r="E86" s="558"/>
      <c r="F86" s="558"/>
      <c r="G86" s="558"/>
      <c r="H86" s="1210"/>
      <c r="I86" s="1210"/>
      <c r="J86" s="1211"/>
      <c r="K86" s="1210"/>
      <c r="L86" s="1210"/>
      <c r="M86" s="1210"/>
      <c r="N86" s="1210"/>
      <c r="O86" s="558"/>
      <c r="P86" s="1211"/>
    </row>
    <row r="87" spans="1:16" ht="18.75">
      <c r="B87" s="613"/>
      <c r="C87" s="612"/>
      <c r="D87" s="581"/>
      <c r="E87" s="558"/>
      <c r="F87" s="558"/>
      <c r="G87" s="558"/>
      <c r="H87" s="1210"/>
      <c r="I87" s="1210"/>
      <c r="J87" s="1211"/>
      <c r="K87" s="1210"/>
      <c r="L87" s="1210"/>
      <c r="M87" s="1210"/>
      <c r="N87" s="1210"/>
      <c r="O87" s="558"/>
      <c r="P87" s="1211"/>
    </row>
    <row r="88" spans="1:16" ht="20.25" customHeight="1">
      <c r="B88" s="613"/>
      <c r="C88" s="612" t="s">
        <v>292</v>
      </c>
      <c r="D88" s="581"/>
      <c r="E88" s="558"/>
      <c r="F88" s="558"/>
      <c r="G88" s="558"/>
      <c r="H88" s="1210"/>
      <c r="I88" s="1210"/>
      <c r="J88" s="1211"/>
      <c r="K88" s="1210"/>
      <c r="L88" s="1210"/>
      <c r="M88" s="1210"/>
      <c r="N88" s="1210"/>
      <c r="O88" s="558"/>
      <c r="P88" s="1211"/>
    </row>
    <row r="89" spans="1:16" ht="15.75" thickBot="1">
      <c r="C89" s="411"/>
      <c r="D89" s="581"/>
      <c r="E89" s="558"/>
      <c r="F89" s="558"/>
      <c r="G89" s="558"/>
      <c r="H89" s="1210"/>
      <c r="I89" s="1210"/>
      <c r="J89" s="1211"/>
      <c r="K89" s="1210"/>
      <c r="L89" s="1210"/>
      <c r="M89" s="1210"/>
      <c r="N89" s="1210"/>
      <c r="O89" s="558"/>
      <c r="P89" s="1211"/>
    </row>
    <row r="90" spans="1:16" ht="15.75">
      <c r="C90" s="614" t="s">
        <v>293</v>
      </c>
      <c r="D90" s="581"/>
      <c r="E90" s="558"/>
      <c r="F90" s="558"/>
      <c r="G90" s="1212"/>
      <c r="H90" s="558" t="s">
        <v>272</v>
      </c>
      <c r="I90" s="558"/>
      <c r="J90" s="606"/>
      <c r="K90" s="696" t="s">
        <v>297</v>
      </c>
      <c r="L90" s="697"/>
      <c r="M90" s="698"/>
      <c r="N90" s="1213">
        <f>VLOOKUP(I96,C103:O162,5)</f>
        <v>788442.27099835314</v>
      </c>
      <c r="O90" s="558"/>
      <c r="P90" s="606"/>
    </row>
    <row r="91" spans="1:16" ht="15.75">
      <c r="C91" s="614"/>
      <c r="D91" s="581"/>
      <c r="E91" s="558"/>
      <c r="F91" s="558"/>
      <c r="G91" s="558"/>
      <c r="H91" s="1214"/>
      <c r="I91" s="1214"/>
      <c r="J91" s="1215"/>
      <c r="K91" s="701" t="s">
        <v>298</v>
      </c>
      <c r="L91" s="1216"/>
      <c r="M91" s="606"/>
      <c r="N91" s="1217">
        <f>VLOOKUP(I96,C103:O162,6)</f>
        <v>788442.27099835314</v>
      </c>
      <c r="O91" s="558"/>
      <c r="P91" s="1215"/>
    </row>
    <row r="92" spans="1:16" ht="13.5" thickBot="1">
      <c r="C92" s="702" t="s">
        <v>294</v>
      </c>
      <c r="D92" s="1598" t="s">
        <v>924</v>
      </c>
      <c r="E92" s="1599"/>
      <c r="F92" s="1599"/>
      <c r="G92" s="1599"/>
      <c r="H92" s="1599"/>
      <c r="I92" s="1599"/>
      <c r="J92" s="1211"/>
      <c r="K92" s="1218" t="s">
        <v>451</v>
      </c>
      <c r="L92" s="1219"/>
      <c r="M92" s="1219"/>
      <c r="N92" s="1220">
        <f>+N91-N90</f>
        <v>0</v>
      </c>
      <c r="O92" s="558"/>
      <c r="P92" s="1211"/>
    </row>
    <row r="93" spans="1:16">
      <c r="C93" s="704"/>
      <c r="D93" s="1599"/>
      <c r="E93" s="1599"/>
      <c r="F93" s="1599"/>
      <c r="G93" s="1599"/>
      <c r="H93" s="1599"/>
      <c r="I93" s="1599"/>
      <c r="J93" s="1211"/>
      <c r="K93" s="1210"/>
      <c r="L93" s="1210"/>
      <c r="M93" s="1210"/>
      <c r="N93" s="1210"/>
      <c r="O93" s="558"/>
      <c r="P93" s="1211"/>
    </row>
    <row r="94" spans="1:16" ht="13.5" thickBot="1">
      <c r="C94" s="707"/>
      <c r="D94" s="708"/>
      <c r="E94" s="706"/>
      <c r="F94" s="706"/>
      <c r="G94" s="706"/>
      <c r="H94" s="706"/>
      <c r="I94" s="706"/>
      <c r="J94" s="709"/>
      <c r="K94" s="706"/>
      <c r="L94" s="706"/>
      <c r="M94" s="706"/>
      <c r="N94" s="706"/>
      <c r="O94" s="594"/>
      <c r="P94" s="709"/>
    </row>
    <row r="95" spans="1:16" ht="13.5" thickBot="1">
      <c r="C95" s="710" t="s">
        <v>295</v>
      </c>
      <c r="D95" s="711"/>
      <c r="E95" s="711"/>
      <c r="F95" s="711"/>
      <c r="G95" s="711"/>
      <c r="H95" s="711"/>
      <c r="I95" s="712"/>
      <c r="J95" s="713"/>
      <c r="K95" s="558"/>
      <c r="L95" s="558"/>
      <c r="M95" s="558"/>
      <c r="N95" s="558"/>
      <c r="O95" s="714"/>
      <c r="P95" s="715"/>
    </row>
    <row r="96" spans="1:16" ht="15">
      <c r="C96" s="716" t="s">
        <v>273</v>
      </c>
      <c r="D96" s="1221">
        <v>8327150.3599999994</v>
      </c>
      <c r="E96" s="673" t="s">
        <v>274</v>
      </c>
      <c r="G96" s="717"/>
      <c r="H96" s="717"/>
      <c r="I96" s="718">
        <f>L26</f>
        <v>2025</v>
      </c>
      <c r="J96" s="604"/>
      <c r="K96" s="1600" t="s">
        <v>460</v>
      </c>
      <c r="L96" s="1600"/>
      <c r="M96" s="1600"/>
      <c r="N96" s="1600"/>
      <c r="O96" s="1600"/>
      <c r="P96" s="604"/>
    </row>
    <row r="97" spans="1:16">
      <c r="C97" s="716" t="s">
        <v>276</v>
      </c>
      <c r="D97" s="864">
        <v>2009</v>
      </c>
      <c r="E97" s="716" t="s">
        <v>277</v>
      </c>
      <c r="F97" s="717"/>
      <c r="H97" s="345"/>
      <c r="I97" s="867">
        <f>IF(G90="",0,$F$15)</f>
        <v>0</v>
      </c>
      <c r="J97" s="719"/>
      <c r="K97" s="1211" t="s">
        <v>460</v>
      </c>
      <c r="P97" s="719"/>
    </row>
    <row r="98" spans="1:16">
      <c r="C98" s="716" t="s">
        <v>278</v>
      </c>
      <c r="D98" s="1221">
        <v>6</v>
      </c>
      <c r="E98" s="716" t="s">
        <v>279</v>
      </c>
      <c r="F98" s="717"/>
      <c r="H98" s="345"/>
      <c r="I98" s="720">
        <f>$G$70</f>
        <v>0.11808937687765908</v>
      </c>
      <c r="J98" s="721"/>
      <c r="K98" s="345" t="str">
        <f>"          INPUT PROJECTED ARR (WITH &amp; WITHOUT INCENTIVES) FROM EACH PRIOR YEAR"</f>
        <v xml:space="preserve">          INPUT PROJECTED ARR (WITH &amp; WITHOUT INCENTIVES) FROM EACH PRIOR YEAR</v>
      </c>
      <c r="P98" s="721"/>
    </row>
    <row r="99" spans="1:16">
      <c r="C99" s="716" t="s">
        <v>280</v>
      </c>
      <c r="D99" s="722">
        <f>G$79</f>
        <v>38</v>
      </c>
      <c r="E99" s="716" t="s">
        <v>281</v>
      </c>
      <c r="F99" s="717"/>
      <c r="H99" s="345"/>
      <c r="I99" s="720">
        <f>IF(G90="",I98,$G$67)</f>
        <v>0.11808937687765908</v>
      </c>
      <c r="J99" s="723"/>
      <c r="K99" s="345" t="s">
        <v>358</v>
      </c>
      <c r="P99" s="723"/>
    </row>
    <row r="100" spans="1:16" ht="13.5" thickBot="1">
      <c r="C100" s="716" t="s">
        <v>282</v>
      </c>
      <c r="D100" s="866" t="s">
        <v>925</v>
      </c>
      <c r="E100" s="724" t="s">
        <v>283</v>
      </c>
      <c r="F100" s="725"/>
      <c r="G100" s="726"/>
      <c r="H100" s="726"/>
      <c r="I100" s="1220">
        <f>IF(D96=0,0,D96/D99)</f>
        <v>219135.53578947368</v>
      </c>
      <c r="J100" s="1211"/>
      <c r="K100" s="1211" t="s">
        <v>364</v>
      </c>
      <c r="L100" s="1211"/>
      <c r="M100" s="1211"/>
      <c r="N100" s="1211"/>
      <c r="O100" s="606"/>
      <c r="P100" s="1211"/>
    </row>
    <row r="101" spans="1:16" ht="51">
      <c r="A101" s="545"/>
      <c r="B101" s="1222"/>
      <c r="C101" s="727" t="s">
        <v>273</v>
      </c>
      <c r="D101" s="1223" t="s">
        <v>284</v>
      </c>
      <c r="E101" s="1224" t="s">
        <v>285</v>
      </c>
      <c r="F101" s="1223" t="s">
        <v>286</v>
      </c>
      <c r="G101" s="1224" t="s">
        <v>357</v>
      </c>
      <c r="H101" s="1225" t="s">
        <v>357</v>
      </c>
      <c r="I101" s="727" t="s">
        <v>296</v>
      </c>
      <c r="J101" s="731"/>
      <c r="K101" s="1224" t="s">
        <v>366</v>
      </c>
      <c r="L101" s="1226"/>
      <c r="M101" s="1224" t="s">
        <v>366</v>
      </c>
      <c r="N101" s="1226"/>
      <c r="O101" s="1226"/>
      <c r="P101" s="732"/>
    </row>
    <row r="102" spans="1:16" ht="13.5" thickBot="1">
      <c r="C102" s="733" t="s">
        <v>178</v>
      </c>
      <c r="D102" s="734" t="s">
        <v>179</v>
      </c>
      <c r="E102" s="733" t="s">
        <v>38</v>
      </c>
      <c r="F102" s="734" t="s">
        <v>179</v>
      </c>
      <c r="G102" s="1227" t="s">
        <v>299</v>
      </c>
      <c r="H102" s="1228" t="s">
        <v>301</v>
      </c>
      <c r="I102" s="737" t="s">
        <v>390</v>
      </c>
      <c r="J102" s="738"/>
      <c r="K102" s="1227" t="s">
        <v>288</v>
      </c>
      <c r="L102" s="1229"/>
      <c r="M102" s="1227" t="s">
        <v>301</v>
      </c>
      <c r="N102" s="1229"/>
      <c r="O102" s="1229"/>
      <c r="P102" s="604"/>
    </row>
    <row r="103" spans="1:16">
      <c r="C103" s="739">
        <f>IF(D97= "","-",D97)</f>
        <v>2009</v>
      </c>
      <c r="D103" s="691">
        <f>+D96</f>
        <v>8327150.3599999994</v>
      </c>
      <c r="E103" s="1230">
        <f>+I100/12*(12-D98)</f>
        <v>109567.76789473684</v>
      </c>
      <c r="F103" s="691">
        <f t="shared" ref="F103:F162" si="0">+D103-E103</f>
        <v>8217582.5921052629</v>
      </c>
      <c r="G103" s="1231">
        <f>+$I$98*((D103+F103)/2)+E103</f>
        <v>1086446.3703554287</v>
      </c>
      <c r="H103" s="1232">
        <f>+$I$99*((D103+F103)/2)+E103</f>
        <v>1086446.3703554287</v>
      </c>
      <c r="I103" s="743">
        <f>+H103-G103</f>
        <v>0</v>
      </c>
      <c r="J103" s="743"/>
      <c r="K103" s="868"/>
      <c r="L103" s="745"/>
      <c r="M103" s="868"/>
      <c r="N103" s="745"/>
      <c r="O103" s="745"/>
      <c r="P103" s="692"/>
    </row>
    <row r="104" spans="1:16">
      <c r="C104" s="739">
        <f>IF(D97="","-",+C103+1)</f>
        <v>2010</v>
      </c>
      <c r="D104" s="691">
        <f t="shared" ref="D104:D162" si="1">F103</f>
        <v>8217582.5921052629</v>
      </c>
      <c r="E104" s="746">
        <f>IF(D104&gt;$I$100,$I$100,D104)</f>
        <v>219135.53578947368</v>
      </c>
      <c r="F104" s="691">
        <f t="shared" si="0"/>
        <v>7998447.056315789</v>
      </c>
      <c r="G104" s="1230">
        <f t="shared" ref="G104:G162" si="2">+$I$98*((D104+F104)/2)+E104</f>
        <v>1176605.9540953173</v>
      </c>
      <c r="H104" s="1233">
        <f t="shared" ref="H104:H162" si="3">+$I$99*((D104+F104)/2)+E104</f>
        <v>1176605.9540953173</v>
      </c>
      <c r="I104" s="743">
        <f t="shared" ref="I104:I162" si="4">+H104-G104</f>
        <v>0</v>
      </c>
      <c r="J104" s="743"/>
      <c r="K104" s="869">
        <v>1408114.4789272889</v>
      </c>
      <c r="L104" s="749"/>
      <c r="M104" s="869">
        <v>1408114.4789272889</v>
      </c>
      <c r="N104" s="749"/>
      <c r="O104" s="749"/>
      <c r="P104" s="692"/>
    </row>
    <row r="105" spans="1:16">
      <c r="C105" s="739">
        <f>IF(D97="","-",+C104+1)</f>
        <v>2011</v>
      </c>
      <c r="D105" s="691">
        <f t="shared" si="1"/>
        <v>7998447.056315789</v>
      </c>
      <c r="E105" s="746">
        <f t="shared" ref="E105:E162" si="5">IF(D105&gt;$I$100,$I$100,D105)</f>
        <v>219135.53578947368</v>
      </c>
      <c r="F105" s="691">
        <f t="shared" si="0"/>
        <v>7779311.5205263151</v>
      </c>
      <c r="G105" s="1230">
        <f t="shared" si="2"/>
        <v>1150728.3752221861</v>
      </c>
      <c r="H105" s="1233">
        <f t="shared" si="3"/>
        <v>1150728.3752221861</v>
      </c>
      <c r="I105" s="743">
        <f t="shared" si="4"/>
        <v>0</v>
      </c>
      <c r="J105" s="743"/>
      <c r="K105" s="869">
        <v>1487355</v>
      </c>
      <c r="L105" s="749"/>
      <c r="M105" s="869">
        <v>1487355</v>
      </c>
      <c r="N105" s="749"/>
      <c r="O105" s="749"/>
      <c r="P105" s="692"/>
    </row>
    <row r="106" spans="1:16">
      <c r="C106" s="739">
        <f>IF(D97="","-",+C105+1)</f>
        <v>2012</v>
      </c>
      <c r="D106" s="691">
        <f t="shared" si="1"/>
        <v>7779311.5205263151</v>
      </c>
      <c r="E106" s="746">
        <f t="shared" si="5"/>
        <v>219135.53578947368</v>
      </c>
      <c r="F106" s="691">
        <f t="shared" si="0"/>
        <v>7560175.9847368412</v>
      </c>
      <c r="G106" s="1230">
        <f t="shared" si="2"/>
        <v>1124850.7963490554</v>
      </c>
      <c r="H106" s="1233">
        <f t="shared" si="3"/>
        <v>1124850.7963490554</v>
      </c>
      <c r="I106" s="743">
        <f t="shared" si="4"/>
        <v>0</v>
      </c>
      <c r="J106" s="743"/>
      <c r="K106" s="869">
        <v>1319695.2352555101</v>
      </c>
      <c r="L106" s="749"/>
      <c r="M106" s="869">
        <v>1319695.2352555101</v>
      </c>
      <c r="N106" s="749"/>
      <c r="O106" s="749"/>
      <c r="P106" s="692"/>
    </row>
    <row r="107" spans="1:16">
      <c r="C107" s="739">
        <f>IF(D97="","-",+C106+1)</f>
        <v>2013</v>
      </c>
      <c r="D107" s="691">
        <f t="shared" si="1"/>
        <v>7560175.9847368412</v>
      </c>
      <c r="E107" s="746">
        <f t="shared" si="5"/>
        <v>219135.53578947368</v>
      </c>
      <c r="F107" s="691">
        <f t="shared" si="0"/>
        <v>7341040.4489473673</v>
      </c>
      <c r="G107" s="1230">
        <f t="shared" si="2"/>
        <v>1098973.2174759244</v>
      </c>
      <c r="H107" s="1233">
        <f t="shared" si="3"/>
        <v>1098973.2174759244</v>
      </c>
      <c r="I107" s="743">
        <f t="shared" si="4"/>
        <v>0</v>
      </c>
      <c r="J107" s="743"/>
      <c r="K107" s="1234">
        <v>1272484</v>
      </c>
      <c r="L107" s="749"/>
      <c r="M107" s="1234">
        <v>1272484</v>
      </c>
      <c r="N107" s="749"/>
      <c r="O107" s="749"/>
      <c r="P107" s="692"/>
    </row>
    <row r="108" spans="1:16">
      <c r="C108" s="739">
        <f>IF(D97="","-",+C107+1)</f>
        <v>2014</v>
      </c>
      <c r="D108" s="691">
        <f t="shared" si="1"/>
        <v>7341040.4489473673</v>
      </c>
      <c r="E108" s="746">
        <f t="shared" si="5"/>
        <v>219135.53578947368</v>
      </c>
      <c r="F108" s="691">
        <f t="shared" si="0"/>
        <v>7121904.9131578933</v>
      </c>
      <c r="G108" s="1230">
        <f t="shared" si="2"/>
        <v>1073095.6386027937</v>
      </c>
      <c r="H108" s="1233">
        <f t="shared" si="3"/>
        <v>1073095.6386027937</v>
      </c>
      <c r="I108" s="743">
        <f t="shared" si="4"/>
        <v>0</v>
      </c>
      <c r="J108" s="743"/>
      <c r="K108" s="869">
        <v>1249385</v>
      </c>
      <c r="L108" s="749"/>
      <c r="M108" s="869">
        <v>1249385</v>
      </c>
      <c r="N108" s="749"/>
      <c r="O108" s="749"/>
      <c r="P108" s="692"/>
    </row>
    <row r="109" spans="1:16">
      <c r="C109" s="739">
        <f>IF(D97="","-",+C108+1)</f>
        <v>2015</v>
      </c>
      <c r="D109" s="691">
        <f t="shared" si="1"/>
        <v>7121904.9131578933</v>
      </c>
      <c r="E109" s="746">
        <f t="shared" si="5"/>
        <v>219135.53578947368</v>
      </c>
      <c r="F109" s="691">
        <f t="shared" si="0"/>
        <v>6902769.3773684194</v>
      </c>
      <c r="G109" s="1230">
        <f t="shared" si="2"/>
        <v>1047218.0597296625</v>
      </c>
      <c r="H109" s="1233">
        <f t="shared" si="3"/>
        <v>1047218.0597296625</v>
      </c>
      <c r="I109" s="743">
        <f t="shared" si="4"/>
        <v>0</v>
      </c>
      <c r="J109" s="743"/>
      <c r="K109" s="869">
        <v>1278273</v>
      </c>
      <c r="L109" s="749"/>
      <c r="M109" s="869">
        <v>1278273</v>
      </c>
      <c r="N109" s="749"/>
      <c r="O109" s="749"/>
      <c r="P109" s="692"/>
    </row>
    <row r="110" spans="1:16">
      <c r="C110" s="739">
        <f>IF(D97="","-",+C109+1)</f>
        <v>2016</v>
      </c>
      <c r="D110" s="691">
        <f t="shared" si="1"/>
        <v>6902769.3773684194</v>
      </c>
      <c r="E110" s="746">
        <f t="shared" si="5"/>
        <v>219135.53578947368</v>
      </c>
      <c r="F110" s="691">
        <f t="shared" si="0"/>
        <v>6683633.8415789455</v>
      </c>
      <c r="G110" s="1230">
        <f t="shared" si="2"/>
        <v>1021340.4808565316</v>
      </c>
      <c r="H110" s="1233">
        <f t="shared" si="3"/>
        <v>1021340.4808565316</v>
      </c>
      <c r="I110" s="743">
        <f t="shared" si="4"/>
        <v>0</v>
      </c>
      <c r="J110" s="743"/>
      <c r="K110" s="869">
        <v>1254654</v>
      </c>
      <c r="L110" s="749"/>
      <c r="M110" s="869">
        <v>1254654</v>
      </c>
      <c r="N110" s="749"/>
      <c r="O110" s="749"/>
      <c r="P110" s="692"/>
    </row>
    <row r="111" spans="1:16">
      <c r="C111" s="739">
        <f>IF(D97="","-",+C110+1)</f>
        <v>2017</v>
      </c>
      <c r="D111" s="691">
        <f t="shared" si="1"/>
        <v>6683633.8415789455</v>
      </c>
      <c r="E111" s="746">
        <f t="shared" si="5"/>
        <v>219135.53578947368</v>
      </c>
      <c r="F111" s="691">
        <f t="shared" si="0"/>
        <v>6464498.3057894716</v>
      </c>
      <c r="G111" s="1230">
        <f t="shared" si="2"/>
        <v>995462.90198340057</v>
      </c>
      <c r="H111" s="1233">
        <f t="shared" si="3"/>
        <v>995462.90198340057</v>
      </c>
      <c r="I111" s="743">
        <f t="shared" si="4"/>
        <v>0</v>
      </c>
      <c r="J111" s="743"/>
      <c r="K111" s="869">
        <v>1132871</v>
      </c>
      <c r="L111" s="749"/>
      <c r="M111" s="869">
        <v>1132871</v>
      </c>
      <c r="N111" s="749"/>
      <c r="O111" s="749"/>
      <c r="P111" s="692"/>
    </row>
    <row r="112" spans="1:16">
      <c r="C112" s="1247">
        <f>IF(D97="","-",+C111+1)</f>
        <v>2018</v>
      </c>
      <c r="D112" s="1235">
        <f t="shared" si="1"/>
        <v>6464498.3057894716</v>
      </c>
      <c r="E112" s="1236">
        <f t="shared" si="5"/>
        <v>219135.53578947368</v>
      </c>
      <c r="F112" s="1235">
        <f t="shared" si="0"/>
        <v>6245362.7699999977</v>
      </c>
      <c r="G112" s="1237">
        <f t="shared" si="2"/>
        <v>969585.32311026985</v>
      </c>
      <c r="H112" s="1238">
        <f t="shared" si="3"/>
        <v>969585.32311026985</v>
      </c>
      <c r="I112" s="1239">
        <f t="shared" si="4"/>
        <v>0</v>
      </c>
      <c r="J112" s="743"/>
      <c r="K112" s="869">
        <v>933326</v>
      </c>
      <c r="L112" s="749"/>
      <c r="M112" s="869">
        <v>933326</v>
      </c>
      <c r="N112" s="749"/>
      <c r="O112" s="749"/>
      <c r="P112" s="692"/>
    </row>
    <row r="113" spans="3:16">
      <c r="C113" s="739">
        <f>IF(D97="","-",+C112+1)</f>
        <v>2019</v>
      </c>
      <c r="D113" s="691">
        <f t="shared" si="1"/>
        <v>6245362.7699999977</v>
      </c>
      <c r="E113" s="746">
        <f t="shared" si="5"/>
        <v>219135.53578947368</v>
      </c>
      <c r="F113" s="691">
        <f t="shared" si="0"/>
        <v>6026227.2342105238</v>
      </c>
      <c r="G113" s="1230">
        <f t="shared" si="2"/>
        <v>943707.74423713877</v>
      </c>
      <c r="H113" s="1233">
        <f t="shared" si="3"/>
        <v>943707.74423713877</v>
      </c>
      <c r="I113" s="743">
        <f t="shared" si="4"/>
        <v>0</v>
      </c>
      <c r="J113" s="743"/>
      <c r="K113" s="869">
        <v>856880</v>
      </c>
      <c r="L113" s="749"/>
      <c r="M113" s="869">
        <v>856880</v>
      </c>
      <c r="N113" s="749"/>
      <c r="O113" s="749"/>
      <c r="P113" s="692"/>
    </row>
    <row r="114" spans="3:16">
      <c r="C114" s="739">
        <f>IF(D97="","-",+C113+1)</f>
        <v>2020</v>
      </c>
      <c r="D114" s="691">
        <f t="shared" si="1"/>
        <v>6026227.2342105238</v>
      </c>
      <c r="E114" s="746">
        <f t="shared" si="5"/>
        <v>219135.53578947368</v>
      </c>
      <c r="F114" s="691">
        <f t="shared" si="0"/>
        <v>5807091.6984210499</v>
      </c>
      <c r="G114" s="1230">
        <f t="shared" si="2"/>
        <v>917830.16536400793</v>
      </c>
      <c r="H114" s="1233">
        <f t="shared" si="3"/>
        <v>917830.16536400793</v>
      </c>
      <c r="I114" s="743">
        <f t="shared" si="4"/>
        <v>0</v>
      </c>
      <c r="J114" s="743"/>
      <c r="K114" s="869">
        <v>804583.945304416</v>
      </c>
      <c r="L114" s="749"/>
      <c r="M114" s="869">
        <v>804583.945304416</v>
      </c>
      <c r="N114" s="749"/>
      <c r="O114" s="749"/>
      <c r="P114" s="692"/>
    </row>
    <row r="115" spans="3:16">
      <c r="C115" s="739">
        <f>IF(D97="","-",+C114+1)</f>
        <v>2021</v>
      </c>
      <c r="D115" s="691">
        <f t="shared" si="1"/>
        <v>5807091.6984210499</v>
      </c>
      <c r="E115" s="746">
        <f t="shared" si="5"/>
        <v>219135.53578947368</v>
      </c>
      <c r="F115" s="691">
        <f t="shared" si="0"/>
        <v>5587956.1626315759</v>
      </c>
      <c r="G115" s="1230">
        <f t="shared" si="2"/>
        <v>891952.58649087686</v>
      </c>
      <c r="H115" s="1233">
        <f t="shared" si="3"/>
        <v>891952.58649087686</v>
      </c>
      <c r="I115" s="743">
        <f t="shared" si="4"/>
        <v>0</v>
      </c>
      <c r="J115" s="743"/>
      <c r="K115" s="869">
        <v>786904.64425107813</v>
      </c>
      <c r="L115" s="749"/>
      <c r="M115" s="869">
        <v>786904.64425107813</v>
      </c>
      <c r="N115" s="749"/>
      <c r="O115" s="749"/>
      <c r="P115" s="692"/>
    </row>
    <row r="116" spans="3:16">
      <c r="C116" s="739">
        <f>IF(D97="","-",+C115+1)</f>
        <v>2022</v>
      </c>
      <c r="D116" s="691">
        <f t="shared" si="1"/>
        <v>5587956.1626315759</v>
      </c>
      <c r="E116" s="746">
        <f t="shared" si="5"/>
        <v>219135.53578947368</v>
      </c>
      <c r="F116" s="691">
        <f t="shared" si="0"/>
        <v>5368820.626842102</v>
      </c>
      <c r="G116" s="1230">
        <f t="shared" si="2"/>
        <v>866075.00761774601</v>
      </c>
      <c r="H116" s="1233">
        <f t="shared" si="3"/>
        <v>866075.00761774601</v>
      </c>
      <c r="I116" s="743">
        <f t="shared" si="4"/>
        <v>0</v>
      </c>
      <c r="J116" s="743"/>
      <c r="K116" s="869">
        <v>792609.60205039405</v>
      </c>
      <c r="L116" s="749"/>
      <c r="M116" s="869">
        <v>792609.60205039405</v>
      </c>
      <c r="N116" s="749"/>
      <c r="O116" s="749"/>
      <c r="P116" s="692"/>
    </row>
    <row r="117" spans="3:16">
      <c r="C117" s="739">
        <f>IF(D97="","-",+C116+1)</f>
        <v>2023</v>
      </c>
      <c r="D117" s="691">
        <f t="shared" si="1"/>
        <v>5368820.626842102</v>
      </c>
      <c r="E117" s="746">
        <f t="shared" si="5"/>
        <v>219135.53578947368</v>
      </c>
      <c r="F117" s="691">
        <f t="shared" si="0"/>
        <v>5149685.0910526281</v>
      </c>
      <c r="G117" s="1230">
        <f t="shared" si="2"/>
        <v>840197.42874461506</v>
      </c>
      <c r="H117" s="1233">
        <f t="shared" si="3"/>
        <v>840197.42874461506</v>
      </c>
      <c r="I117" s="743">
        <f t="shared" si="4"/>
        <v>0</v>
      </c>
      <c r="J117" s="743"/>
      <c r="K117" s="869">
        <v>835543.80608912953</v>
      </c>
      <c r="L117" s="749"/>
      <c r="M117" s="869">
        <v>835543.80608912953</v>
      </c>
      <c r="N117" s="749"/>
      <c r="O117" s="749"/>
      <c r="P117" s="692"/>
    </row>
    <row r="118" spans="3:16">
      <c r="C118" s="739">
        <f>IF(D97="","-",+C117+1)</f>
        <v>2024</v>
      </c>
      <c r="D118" s="691">
        <f t="shared" si="1"/>
        <v>5149685.0910526281</v>
      </c>
      <c r="E118" s="746">
        <f t="shared" si="5"/>
        <v>219135.53578947368</v>
      </c>
      <c r="F118" s="691">
        <f t="shared" si="0"/>
        <v>4930549.5552631542</v>
      </c>
      <c r="G118" s="1230">
        <f t="shared" si="2"/>
        <v>814319.84987148421</v>
      </c>
      <c r="H118" s="1233">
        <f t="shared" si="3"/>
        <v>814319.84987148421</v>
      </c>
      <c r="I118" s="743">
        <f t="shared" si="4"/>
        <v>0</v>
      </c>
      <c r="J118" s="743"/>
      <c r="K118" s="869">
        <v>832333.33460804494</v>
      </c>
      <c r="L118" s="749"/>
      <c r="M118" s="869">
        <v>832333.33460804494</v>
      </c>
      <c r="N118" s="749"/>
      <c r="O118" s="749"/>
      <c r="P118" s="692"/>
    </row>
    <row r="119" spans="3:16">
      <c r="C119" s="739">
        <f>IF(D97="","-",+C118+1)</f>
        <v>2025</v>
      </c>
      <c r="D119" s="691">
        <f t="shared" si="1"/>
        <v>4930549.5552631542</v>
      </c>
      <c r="E119" s="746">
        <f t="shared" si="5"/>
        <v>219135.53578947368</v>
      </c>
      <c r="F119" s="691">
        <f t="shared" si="0"/>
        <v>4711414.0194736803</v>
      </c>
      <c r="G119" s="1230">
        <f t="shared" si="2"/>
        <v>788442.27099835314</v>
      </c>
      <c r="H119" s="1233">
        <f t="shared" si="3"/>
        <v>788442.27099835314</v>
      </c>
      <c r="I119" s="743">
        <f t="shared" si="4"/>
        <v>0</v>
      </c>
      <c r="J119" s="743"/>
      <c r="K119" s="869"/>
      <c r="L119" s="749"/>
      <c r="M119" s="869"/>
      <c r="N119" s="749"/>
      <c r="O119" s="749"/>
      <c r="P119" s="692"/>
    </row>
    <row r="120" spans="3:16">
      <c r="C120" s="739">
        <f>IF(D97="","-",+C119+1)</f>
        <v>2026</v>
      </c>
      <c r="D120" s="691">
        <f t="shared" si="1"/>
        <v>4711414.0194736803</v>
      </c>
      <c r="E120" s="746">
        <f t="shared" si="5"/>
        <v>219135.53578947368</v>
      </c>
      <c r="F120" s="691">
        <f t="shared" si="0"/>
        <v>4492278.4836842064</v>
      </c>
      <c r="G120" s="1230">
        <f t="shared" si="2"/>
        <v>762564.6921252223</v>
      </c>
      <c r="H120" s="1233">
        <f t="shared" si="3"/>
        <v>762564.6921252223</v>
      </c>
      <c r="I120" s="743">
        <f t="shared" si="4"/>
        <v>0</v>
      </c>
      <c r="J120" s="743"/>
      <c r="K120" s="869"/>
      <c r="L120" s="749"/>
      <c r="M120" s="869"/>
      <c r="N120" s="749"/>
      <c r="O120" s="749"/>
      <c r="P120" s="692"/>
    </row>
    <row r="121" spans="3:16">
      <c r="C121" s="739">
        <f>IF(D97="","-",+C120+1)</f>
        <v>2027</v>
      </c>
      <c r="D121" s="691">
        <f t="shared" si="1"/>
        <v>4492278.4836842064</v>
      </c>
      <c r="E121" s="746">
        <f t="shared" si="5"/>
        <v>219135.53578947368</v>
      </c>
      <c r="F121" s="691">
        <f t="shared" si="0"/>
        <v>4273142.9478947325</v>
      </c>
      <c r="G121" s="1230">
        <f t="shared" si="2"/>
        <v>736687.11325209122</v>
      </c>
      <c r="H121" s="1233">
        <f t="shared" si="3"/>
        <v>736687.11325209122</v>
      </c>
      <c r="I121" s="743">
        <f t="shared" si="4"/>
        <v>0</v>
      </c>
      <c r="J121" s="743"/>
      <c r="K121" s="869"/>
      <c r="L121" s="749"/>
      <c r="M121" s="869"/>
      <c r="N121" s="749"/>
      <c r="O121" s="749"/>
      <c r="P121" s="692"/>
    </row>
    <row r="122" spans="3:16">
      <c r="C122" s="739">
        <f>IF(D97="","-",+C121+1)</f>
        <v>2028</v>
      </c>
      <c r="D122" s="691">
        <f t="shared" si="1"/>
        <v>4273142.9478947325</v>
      </c>
      <c r="E122" s="746">
        <f t="shared" si="5"/>
        <v>219135.53578947368</v>
      </c>
      <c r="F122" s="691">
        <f t="shared" si="0"/>
        <v>4054007.4121052586</v>
      </c>
      <c r="G122" s="1230">
        <f t="shared" si="2"/>
        <v>710809.53437896038</v>
      </c>
      <c r="H122" s="1233">
        <f t="shared" si="3"/>
        <v>710809.53437896038</v>
      </c>
      <c r="I122" s="743">
        <f t="shared" si="4"/>
        <v>0</v>
      </c>
      <c r="J122" s="743"/>
      <c r="K122" s="869"/>
      <c r="L122" s="749"/>
      <c r="M122" s="869"/>
      <c r="N122" s="749"/>
      <c r="O122" s="749"/>
      <c r="P122" s="692"/>
    </row>
    <row r="123" spans="3:16">
      <c r="C123" s="739">
        <f>IF(D97="","-",+C122+1)</f>
        <v>2029</v>
      </c>
      <c r="D123" s="691">
        <f t="shared" si="1"/>
        <v>4054007.4121052586</v>
      </c>
      <c r="E123" s="746">
        <f t="shared" si="5"/>
        <v>219135.53578947368</v>
      </c>
      <c r="F123" s="691">
        <f t="shared" si="0"/>
        <v>3834871.8763157846</v>
      </c>
      <c r="G123" s="1230">
        <f t="shared" si="2"/>
        <v>684931.95550582954</v>
      </c>
      <c r="H123" s="1233">
        <f t="shared" si="3"/>
        <v>684931.95550582954</v>
      </c>
      <c r="I123" s="743">
        <f t="shared" si="4"/>
        <v>0</v>
      </c>
      <c r="J123" s="743"/>
      <c r="K123" s="869"/>
      <c r="L123" s="749"/>
      <c r="M123" s="869"/>
      <c r="N123" s="749"/>
      <c r="O123" s="749"/>
      <c r="P123" s="692"/>
    </row>
    <row r="124" spans="3:16">
      <c r="C124" s="739">
        <f>IF(D97="","-",+C123+1)</f>
        <v>2030</v>
      </c>
      <c r="D124" s="691">
        <f t="shared" si="1"/>
        <v>3834871.8763157846</v>
      </c>
      <c r="E124" s="746">
        <f t="shared" si="5"/>
        <v>219135.53578947368</v>
      </c>
      <c r="F124" s="691">
        <f t="shared" si="0"/>
        <v>3615736.3405263107</v>
      </c>
      <c r="G124" s="1230">
        <f t="shared" si="2"/>
        <v>659054.37663269858</v>
      </c>
      <c r="H124" s="1233">
        <f t="shared" si="3"/>
        <v>659054.37663269858</v>
      </c>
      <c r="I124" s="743">
        <f t="shared" si="4"/>
        <v>0</v>
      </c>
      <c r="J124" s="743"/>
      <c r="K124" s="869"/>
      <c r="L124" s="749"/>
      <c r="M124" s="869"/>
      <c r="N124" s="749"/>
      <c r="O124" s="749"/>
      <c r="P124" s="692"/>
    </row>
    <row r="125" spans="3:16">
      <c r="C125" s="739">
        <f>IF(D97="","-",+C124+1)</f>
        <v>2031</v>
      </c>
      <c r="D125" s="691">
        <f t="shared" si="1"/>
        <v>3615736.3405263107</v>
      </c>
      <c r="E125" s="746">
        <f t="shared" si="5"/>
        <v>219135.53578947368</v>
      </c>
      <c r="F125" s="691">
        <f t="shared" si="0"/>
        <v>3396600.8047368368</v>
      </c>
      <c r="G125" s="1230">
        <f t="shared" si="2"/>
        <v>633176.79775956762</v>
      </c>
      <c r="H125" s="1233">
        <f t="shared" si="3"/>
        <v>633176.79775956762</v>
      </c>
      <c r="I125" s="743">
        <f t="shared" si="4"/>
        <v>0</v>
      </c>
      <c r="J125" s="743"/>
      <c r="K125" s="869"/>
      <c r="L125" s="749"/>
      <c r="M125" s="869"/>
      <c r="N125" s="749"/>
      <c r="O125" s="749"/>
      <c r="P125" s="692"/>
    </row>
    <row r="126" spans="3:16">
      <c r="C126" s="739">
        <f>IF(D97="","-",+C125+1)</f>
        <v>2032</v>
      </c>
      <c r="D126" s="691">
        <f t="shared" si="1"/>
        <v>3396600.8047368368</v>
      </c>
      <c r="E126" s="746">
        <f t="shared" si="5"/>
        <v>219135.53578947368</v>
      </c>
      <c r="F126" s="691">
        <f t="shared" si="0"/>
        <v>3177465.2689473629</v>
      </c>
      <c r="G126" s="1230">
        <f t="shared" si="2"/>
        <v>607299.21888643666</v>
      </c>
      <c r="H126" s="1233">
        <f t="shared" si="3"/>
        <v>607299.21888643666</v>
      </c>
      <c r="I126" s="743">
        <f t="shared" si="4"/>
        <v>0</v>
      </c>
      <c r="J126" s="743"/>
      <c r="K126" s="869"/>
      <c r="L126" s="749"/>
      <c r="M126" s="869"/>
      <c r="N126" s="749"/>
      <c r="O126" s="749"/>
      <c r="P126" s="692"/>
    </row>
    <row r="127" spans="3:16">
      <c r="C127" s="739">
        <f>IF(D97="","-",+C126+1)</f>
        <v>2033</v>
      </c>
      <c r="D127" s="691">
        <f t="shared" si="1"/>
        <v>3177465.2689473629</v>
      </c>
      <c r="E127" s="746">
        <f t="shared" si="5"/>
        <v>219135.53578947368</v>
      </c>
      <c r="F127" s="691">
        <f t="shared" si="0"/>
        <v>2958329.733157889</v>
      </c>
      <c r="G127" s="1230">
        <f t="shared" si="2"/>
        <v>581421.6400133057</v>
      </c>
      <c r="H127" s="1233">
        <f t="shared" si="3"/>
        <v>581421.6400133057</v>
      </c>
      <c r="I127" s="743">
        <f t="shared" si="4"/>
        <v>0</v>
      </c>
      <c r="J127" s="743"/>
      <c r="K127" s="869"/>
      <c r="L127" s="749"/>
      <c r="M127" s="869"/>
      <c r="N127" s="749"/>
      <c r="O127" s="749"/>
      <c r="P127" s="692"/>
    </row>
    <row r="128" spans="3:16">
      <c r="C128" s="739">
        <f>IF(D97="","-",+C127+1)</f>
        <v>2034</v>
      </c>
      <c r="D128" s="691">
        <f t="shared" si="1"/>
        <v>2958329.733157889</v>
      </c>
      <c r="E128" s="746">
        <f t="shared" si="5"/>
        <v>219135.53578947368</v>
      </c>
      <c r="F128" s="691">
        <f t="shared" si="0"/>
        <v>2739194.1973684151</v>
      </c>
      <c r="G128" s="1230">
        <f t="shared" si="2"/>
        <v>555544.06114017474</v>
      </c>
      <c r="H128" s="1233">
        <f t="shared" si="3"/>
        <v>555544.06114017474</v>
      </c>
      <c r="I128" s="743">
        <f t="shared" si="4"/>
        <v>0</v>
      </c>
      <c r="J128" s="743"/>
      <c r="K128" s="869"/>
      <c r="L128" s="749"/>
      <c r="M128" s="869"/>
      <c r="N128" s="749"/>
      <c r="O128" s="749"/>
      <c r="P128" s="692"/>
    </row>
    <row r="129" spans="3:16">
      <c r="C129" s="739">
        <f>IF(D97="","-",+C128+1)</f>
        <v>2035</v>
      </c>
      <c r="D129" s="691">
        <f t="shared" si="1"/>
        <v>2739194.1973684151</v>
      </c>
      <c r="E129" s="746">
        <f t="shared" si="5"/>
        <v>219135.53578947368</v>
      </c>
      <c r="F129" s="691">
        <f t="shared" si="0"/>
        <v>2520058.6615789412</v>
      </c>
      <c r="G129" s="1230">
        <f t="shared" si="2"/>
        <v>529666.48226704379</v>
      </c>
      <c r="H129" s="1233">
        <f t="shared" si="3"/>
        <v>529666.48226704379</v>
      </c>
      <c r="I129" s="743">
        <f t="shared" si="4"/>
        <v>0</v>
      </c>
      <c r="J129" s="743"/>
      <c r="K129" s="869"/>
      <c r="L129" s="749"/>
      <c r="M129" s="869"/>
      <c r="N129" s="749"/>
      <c r="O129" s="749"/>
      <c r="P129" s="692"/>
    </row>
    <row r="130" spans="3:16">
      <c r="C130" s="739">
        <f>IF(D97="","-",+C129+1)</f>
        <v>2036</v>
      </c>
      <c r="D130" s="691">
        <f t="shared" si="1"/>
        <v>2520058.6615789412</v>
      </c>
      <c r="E130" s="746">
        <f t="shared" si="5"/>
        <v>219135.53578947368</v>
      </c>
      <c r="F130" s="691">
        <f t="shared" si="0"/>
        <v>2300923.1257894672</v>
      </c>
      <c r="G130" s="1230">
        <f t="shared" si="2"/>
        <v>503788.90339391294</v>
      </c>
      <c r="H130" s="1233">
        <f t="shared" si="3"/>
        <v>503788.90339391294</v>
      </c>
      <c r="I130" s="743">
        <f t="shared" si="4"/>
        <v>0</v>
      </c>
      <c r="J130" s="743"/>
      <c r="K130" s="869"/>
      <c r="L130" s="749"/>
      <c r="M130" s="869"/>
      <c r="N130" s="749"/>
      <c r="O130" s="749"/>
      <c r="P130" s="692"/>
    </row>
    <row r="131" spans="3:16">
      <c r="C131" s="739">
        <f>IF(D97="","-",+C130+1)</f>
        <v>2037</v>
      </c>
      <c r="D131" s="691">
        <f t="shared" si="1"/>
        <v>2300923.1257894672</v>
      </c>
      <c r="E131" s="746">
        <f t="shared" si="5"/>
        <v>219135.53578947368</v>
      </c>
      <c r="F131" s="691">
        <f t="shared" si="0"/>
        <v>2081787.5899999936</v>
      </c>
      <c r="G131" s="1240">
        <f t="shared" si="2"/>
        <v>477911.32452078199</v>
      </c>
      <c r="H131" s="1233">
        <f t="shared" si="3"/>
        <v>477911.32452078199</v>
      </c>
      <c r="I131" s="743">
        <f t="shared" si="4"/>
        <v>0</v>
      </c>
      <c r="J131" s="743"/>
      <c r="K131" s="869"/>
      <c r="L131" s="749"/>
      <c r="M131" s="869"/>
      <c r="N131" s="749"/>
      <c r="O131" s="749"/>
      <c r="P131" s="692"/>
    </row>
    <row r="132" spans="3:16">
      <c r="C132" s="739">
        <f>IF(D97="","-",+C131+1)</f>
        <v>2038</v>
      </c>
      <c r="D132" s="691">
        <f t="shared" si="1"/>
        <v>2081787.5899999936</v>
      </c>
      <c r="E132" s="746">
        <f t="shared" si="5"/>
        <v>219135.53578947368</v>
      </c>
      <c r="F132" s="691">
        <f t="shared" si="0"/>
        <v>1862652.0542105199</v>
      </c>
      <c r="G132" s="1230">
        <f t="shared" si="2"/>
        <v>452033.74564765114</v>
      </c>
      <c r="H132" s="1233">
        <f t="shared" si="3"/>
        <v>452033.74564765114</v>
      </c>
      <c r="I132" s="743">
        <f t="shared" si="4"/>
        <v>0</v>
      </c>
      <c r="J132" s="743"/>
      <c r="K132" s="869"/>
      <c r="L132" s="749"/>
      <c r="M132" s="869"/>
      <c r="N132" s="749"/>
      <c r="O132" s="749"/>
      <c r="P132" s="692"/>
    </row>
    <row r="133" spans="3:16">
      <c r="C133" s="739">
        <f>IF(D97="","-",+C132+1)</f>
        <v>2039</v>
      </c>
      <c r="D133" s="691">
        <f t="shared" si="1"/>
        <v>1862652.0542105199</v>
      </c>
      <c r="E133" s="746">
        <f t="shared" si="5"/>
        <v>219135.53578947368</v>
      </c>
      <c r="F133" s="691">
        <f t="shared" si="0"/>
        <v>1643516.5184210462</v>
      </c>
      <c r="G133" s="1230">
        <f t="shared" si="2"/>
        <v>426156.16677452018</v>
      </c>
      <c r="H133" s="1233">
        <f t="shared" si="3"/>
        <v>426156.16677452018</v>
      </c>
      <c r="I133" s="743">
        <f t="shared" si="4"/>
        <v>0</v>
      </c>
      <c r="J133" s="743"/>
      <c r="K133" s="869"/>
      <c r="L133" s="749"/>
      <c r="M133" s="869"/>
      <c r="N133" s="749"/>
      <c r="O133" s="749"/>
      <c r="P133" s="692"/>
    </row>
    <row r="134" spans="3:16">
      <c r="C134" s="739">
        <f>IF(D97="","-",+C133+1)</f>
        <v>2040</v>
      </c>
      <c r="D134" s="691">
        <f t="shared" si="1"/>
        <v>1643516.5184210462</v>
      </c>
      <c r="E134" s="746">
        <f t="shared" si="5"/>
        <v>219135.53578947368</v>
      </c>
      <c r="F134" s="691">
        <f t="shared" si="0"/>
        <v>1424380.9826315725</v>
      </c>
      <c r="G134" s="1230">
        <f t="shared" si="2"/>
        <v>400278.58790138928</v>
      </c>
      <c r="H134" s="1233">
        <f t="shared" si="3"/>
        <v>400278.58790138928</v>
      </c>
      <c r="I134" s="743">
        <f t="shared" si="4"/>
        <v>0</v>
      </c>
      <c r="J134" s="743"/>
      <c r="K134" s="869"/>
      <c r="L134" s="749"/>
      <c r="M134" s="869"/>
      <c r="N134" s="749"/>
      <c r="O134" s="749"/>
      <c r="P134" s="692"/>
    </row>
    <row r="135" spans="3:16">
      <c r="C135" s="739">
        <f>IF(D97="","-",+C134+1)</f>
        <v>2041</v>
      </c>
      <c r="D135" s="691">
        <f t="shared" si="1"/>
        <v>1424380.9826315725</v>
      </c>
      <c r="E135" s="746">
        <f t="shared" si="5"/>
        <v>219135.53578947368</v>
      </c>
      <c r="F135" s="691">
        <f t="shared" si="0"/>
        <v>1205245.4468420988</v>
      </c>
      <c r="G135" s="1230">
        <f t="shared" si="2"/>
        <v>374401.00902825838</v>
      </c>
      <c r="H135" s="1233">
        <f t="shared" si="3"/>
        <v>374401.00902825838</v>
      </c>
      <c r="I135" s="743">
        <f t="shared" si="4"/>
        <v>0</v>
      </c>
      <c r="J135" s="743"/>
      <c r="K135" s="869"/>
      <c r="L135" s="749"/>
      <c r="M135" s="869"/>
      <c r="N135" s="749"/>
      <c r="O135" s="749"/>
      <c r="P135" s="692"/>
    </row>
    <row r="136" spans="3:16">
      <c r="C136" s="739">
        <f>IF(D97="","-",+C135+1)</f>
        <v>2042</v>
      </c>
      <c r="D136" s="691">
        <f t="shared" si="1"/>
        <v>1205245.4468420988</v>
      </c>
      <c r="E136" s="746">
        <f t="shared" si="5"/>
        <v>219135.53578947368</v>
      </c>
      <c r="F136" s="691">
        <f t="shared" si="0"/>
        <v>986109.91105262516</v>
      </c>
      <c r="G136" s="1230">
        <f t="shared" si="2"/>
        <v>348523.43015512748</v>
      </c>
      <c r="H136" s="1233">
        <f t="shared" si="3"/>
        <v>348523.43015512748</v>
      </c>
      <c r="I136" s="743">
        <f t="shared" si="4"/>
        <v>0</v>
      </c>
      <c r="J136" s="743"/>
      <c r="K136" s="869"/>
      <c r="L136" s="749"/>
      <c r="M136" s="869"/>
      <c r="N136" s="749"/>
      <c r="O136" s="749"/>
      <c r="P136" s="692"/>
    </row>
    <row r="137" spans="3:16">
      <c r="C137" s="739">
        <f>IF(D97="","-",+C136+1)</f>
        <v>2043</v>
      </c>
      <c r="D137" s="691">
        <f t="shared" si="1"/>
        <v>986109.91105262516</v>
      </c>
      <c r="E137" s="746">
        <f t="shared" si="5"/>
        <v>219135.53578947368</v>
      </c>
      <c r="F137" s="691">
        <f t="shared" si="0"/>
        <v>766974.37526315148</v>
      </c>
      <c r="G137" s="1230">
        <f t="shared" si="2"/>
        <v>322645.85128199658</v>
      </c>
      <c r="H137" s="1233">
        <f t="shared" si="3"/>
        <v>322645.85128199658</v>
      </c>
      <c r="I137" s="743">
        <f t="shared" si="4"/>
        <v>0</v>
      </c>
      <c r="J137" s="743"/>
      <c r="K137" s="869"/>
      <c r="L137" s="749"/>
      <c r="M137" s="869"/>
      <c r="N137" s="749"/>
      <c r="O137" s="749"/>
      <c r="P137" s="692"/>
    </row>
    <row r="138" spans="3:16">
      <c r="C138" s="739">
        <f>IF(D97="","-",+C137+1)</f>
        <v>2044</v>
      </c>
      <c r="D138" s="691">
        <f t="shared" si="1"/>
        <v>766974.37526315148</v>
      </c>
      <c r="E138" s="746">
        <f t="shared" si="5"/>
        <v>219135.53578947368</v>
      </c>
      <c r="F138" s="691">
        <f t="shared" si="0"/>
        <v>547838.8394736778</v>
      </c>
      <c r="G138" s="1230">
        <f t="shared" si="2"/>
        <v>296768.27240886563</v>
      </c>
      <c r="H138" s="1233">
        <f t="shared" si="3"/>
        <v>296768.27240886563</v>
      </c>
      <c r="I138" s="743">
        <f t="shared" si="4"/>
        <v>0</v>
      </c>
      <c r="J138" s="743"/>
      <c r="K138" s="869"/>
      <c r="L138" s="749"/>
      <c r="M138" s="869"/>
      <c r="N138" s="749"/>
      <c r="O138" s="749"/>
      <c r="P138" s="692"/>
    </row>
    <row r="139" spans="3:16">
      <c r="C139" s="739">
        <f>IF(D97="","-",+C138+1)</f>
        <v>2045</v>
      </c>
      <c r="D139" s="691">
        <f t="shared" si="1"/>
        <v>547838.8394736778</v>
      </c>
      <c r="E139" s="746">
        <f t="shared" si="5"/>
        <v>219135.53578947368</v>
      </c>
      <c r="F139" s="691">
        <f t="shared" si="0"/>
        <v>328703.30368420412</v>
      </c>
      <c r="G139" s="1230">
        <f t="shared" si="2"/>
        <v>270890.69353573472</v>
      </c>
      <c r="H139" s="1233">
        <f t="shared" si="3"/>
        <v>270890.69353573472</v>
      </c>
      <c r="I139" s="743">
        <f t="shared" si="4"/>
        <v>0</v>
      </c>
      <c r="J139" s="743"/>
      <c r="K139" s="869"/>
      <c r="L139" s="749"/>
      <c r="M139" s="869"/>
      <c r="N139" s="749"/>
      <c r="O139" s="749"/>
      <c r="P139" s="692"/>
    </row>
    <row r="140" spans="3:16">
      <c r="C140" s="739">
        <f>IF(D97="","-",+C139+1)</f>
        <v>2046</v>
      </c>
      <c r="D140" s="691">
        <f t="shared" si="1"/>
        <v>328703.30368420412</v>
      </c>
      <c r="E140" s="746">
        <f t="shared" si="5"/>
        <v>219135.53578947368</v>
      </c>
      <c r="F140" s="691">
        <f t="shared" si="0"/>
        <v>109567.76789473044</v>
      </c>
      <c r="G140" s="1230">
        <f t="shared" si="2"/>
        <v>245013.11466260382</v>
      </c>
      <c r="H140" s="1233">
        <f t="shared" si="3"/>
        <v>245013.11466260382</v>
      </c>
      <c r="I140" s="743">
        <f t="shared" si="4"/>
        <v>0</v>
      </c>
      <c r="J140" s="743"/>
      <c r="K140" s="869"/>
      <c r="L140" s="749"/>
      <c r="M140" s="869"/>
      <c r="N140" s="749"/>
      <c r="O140" s="749"/>
      <c r="P140" s="692"/>
    </row>
    <row r="141" spans="3:16">
      <c r="C141" s="739">
        <f>IF(D97="","-",+C140+1)</f>
        <v>2047</v>
      </c>
      <c r="D141" s="691">
        <f t="shared" si="1"/>
        <v>109567.76789473044</v>
      </c>
      <c r="E141" s="746">
        <f t="shared" si="5"/>
        <v>109567.76789473044</v>
      </c>
      <c r="F141" s="691">
        <f t="shared" si="0"/>
        <v>0</v>
      </c>
      <c r="G141" s="1230">
        <f t="shared" si="2"/>
        <v>116037.16261301278</v>
      </c>
      <c r="H141" s="1233">
        <f t="shared" si="3"/>
        <v>116037.16261301278</v>
      </c>
      <c r="I141" s="743">
        <f t="shared" si="4"/>
        <v>0</v>
      </c>
      <c r="J141" s="743"/>
      <c r="K141" s="869"/>
      <c r="L141" s="749"/>
      <c r="M141" s="869"/>
      <c r="N141" s="749"/>
      <c r="O141" s="749"/>
      <c r="P141" s="692"/>
    </row>
    <row r="142" spans="3:16">
      <c r="C142" s="739">
        <f>IF(D97="","-",+C141+1)</f>
        <v>2048</v>
      </c>
      <c r="D142" s="691">
        <f t="shared" si="1"/>
        <v>0</v>
      </c>
      <c r="E142" s="746">
        <f t="shared" si="5"/>
        <v>0</v>
      </c>
      <c r="F142" s="691">
        <f t="shared" si="0"/>
        <v>0</v>
      </c>
      <c r="G142" s="1230">
        <f t="shared" si="2"/>
        <v>0</v>
      </c>
      <c r="H142" s="1233">
        <f t="shared" si="3"/>
        <v>0</v>
      </c>
      <c r="I142" s="743">
        <f t="shared" si="4"/>
        <v>0</v>
      </c>
      <c r="J142" s="743"/>
      <c r="K142" s="869"/>
      <c r="L142" s="749"/>
      <c r="M142" s="869"/>
      <c r="N142" s="749"/>
      <c r="O142" s="749"/>
      <c r="P142" s="692"/>
    </row>
    <row r="143" spans="3:16">
      <c r="C143" s="739">
        <f>IF(D97="","-",+C142+1)</f>
        <v>2049</v>
      </c>
      <c r="D143" s="691">
        <f t="shared" si="1"/>
        <v>0</v>
      </c>
      <c r="E143" s="746">
        <f t="shared" si="5"/>
        <v>0</v>
      </c>
      <c r="F143" s="691">
        <f t="shared" si="0"/>
        <v>0</v>
      </c>
      <c r="G143" s="1230">
        <f t="shared" si="2"/>
        <v>0</v>
      </c>
      <c r="H143" s="1233">
        <f t="shared" si="3"/>
        <v>0</v>
      </c>
      <c r="I143" s="743">
        <f t="shared" si="4"/>
        <v>0</v>
      </c>
      <c r="J143" s="743"/>
      <c r="K143" s="869"/>
      <c r="L143" s="749"/>
      <c r="M143" s="869"/>
      <c r="N143" s="749"/>
      <c r="O143" s="749"/>
      <c r="P143" s="692"/>
    </row>
    <row r="144" spans="3:16">
      <c r="C144" s="739">
        <f>IF(D97="","-",+C143+1)</f>
        <v>2050</v>
      </c>
      <c r="D144" s="691">
        <f t="shared" si="1"/>
        <v>0</v>
      </c>
      <c r="E144" s="746">
        <f t="shared" si="5"/>
        <v>0</v>
      </c>
      <c r="F144" s="691">
        <f t="shared" si="0"/>
        <v>0</v>
      </c>
      <c r="G144" s="1230">
        <f t="shared" si="2"/>
        <v>0</v>
      </c>
      <c r="H144" s="1233">
        <f t="shared" si="3"/>
        <v>0</v>
      </c>
      <c r="I144" s="743">
        <f t="shared" si="4"/>
        <v>0</v>
      </c>
      <c r="J144" s="743"/>
      <c r="K144" s="869"/>
      <c r="L144" s="749"/>
      <c r="M144" s="869"/>
      <c r="N144" s="749"/>
      <c r="O144" s="749"/>
      <c r="P144" s="692"/>
    </row>
    <row r="145" spans="3:16">
      <c r="C145" s="739">
        <f>IF(D97="","-",+C144+1)</f>
        <v>2051</v>
      </c>
      <c r="D145" s="691">
        <f t="shared" si="1"/>
        <v>0</v>
      </c>
      <c r="E145" s="746">
        <f t="shared" si="5"/>
        <v>0</v>
      </c>
      <c r="F145" s="691">
        <f t="shared" si="0"/>
        <v>0</v>
      </c>
      <c r="G145" s="1230">
        <f t="shared" si="2"/>
        <v>0</v>
      </c>
      <c r="H145" s="1233">
        <f t="shared" si="3"/>
        <v>0</v>
      </c>
      <c r="I145" s="743">
        <f t="shared" si="4"/>
        <v>0</v>
      </c>
      <c r="J145" s="743"/>
      <c r="K145" s="869"/>
      <c r="L145" s="749"/>
      <c r="M145" s="869"/>
      <c r="N145" s="749"/>
      <c r="O145" s="749"/>
      <c r="P145" s="692"/>
    </row>
    <row r="146" spans="3:16">
      <c r="C146" s="739">
        <f>IF(D97="","-",+C145+1)</f>
        <v>2052</v>
      </c>
      <c r="D146" s="691">
        <f t="shared" si="1"/>
        <v>0</v>
      </c>
      <c r="E146" s="746">
        <f t="shared" si="5"/>
        <v>0</v>
      </c>
      <c r="F146" s="691">
        <f t="shared" si="0"/>
        <v>0</v>
      </c>
      <c r="G146" s="1230">
        <f t="shared" si="2"/>
        <v>0</v>
      </c>
      <c r="H146" s="1233">
        <f t="shared" si="3"/>
        <v>0</v>
      </c>
      <c r="I146" s="743">
        <f t="shared" si="4"/>
        <v>0</v>
      </c>
      <c r="J146" s="743"/>
      <c r="K146" s="869"/>
      <c r="L146" s="749"/>
      <c r="M146" s="869"/>
      <c r="N146" s="749"/>
      <c r="O146" s="749"/>
      <c r="P146" s="692"/>
    </row>
    <row r="147" spans="3:16">
      <c r="C147" s="739">
        <f>IF(D97="","-",+C146+1)</f>
        <v>2053</v>
      </c>
      <c r="D147" s="691">
        <f t="shared" si="1"/>
        <v>0</v>
      </c>
      <c r="E147" s="746">
        <f t="shared" si="5"/>
        <v>0</v>
      </c>
      <c r="F147" s="691">
        <f t="shared" si="0"/>
        <v>0</v>
      </c>
      <c r="G147" s="1230">
        <f t="shared" si="2"/>
        <v>0</v>
      </c>
      <c r="H147" s="1233">
        <f t="shared" si="3"/>
        <v>0</v>
      </c>
      <c r="I147" s="743">
        <f t="shared" si="4"/>
        <v>0</v>
      </c>
      <c r="J147" s="743"/>
      <c r="K147" s="869"/>
      <c r="L147" s="749"/>
      <c r="M147" s="869"/>
      <c r="N147" s="749"/>
      <c r="O147" s="749"/>
      <c r="P147" s="692"/>
    </row>
    <row r="148" spans="3:16">
      <c r="C148" s="739">
        <f>IF(D97="","-",+C147+1)</f>
        <v>2054</v>
      </c>
      <c r="D148" s="691">
        <f t="shared" si="1"/>
        <v>0</v>
      </c>
      <c r="E148" s="746">
        <f t="shared" si="5"/>
        <v>0</v>
      </c>
      <c r="F148" s="691">
        <f t="shared" si="0"/>
        <v>0</v>
      </c>
      <c r="G148" s="1230">
        <f t="shared" si="2"/>
        <v>0</v>
      </c>
      <c r="H148" s="1233">
        <f t="shared" si="3"/>
        <v>0</v>
      </c>
      <c r="I148" s="743">
        <f t="shared" si="4"/>
        <v>0</v>
      </c>
      <c r="J148" s="743"/>
      <c r="K148" s="869"/>
      <c r="L148" s="749"/>
      <c r="M148" s="869"/>
      <c r="N148" s="749"/>
      <c r="O148" s="749"/>
      <c r="P148" s="692"/>
    </row>
    <row r="149" spans="3:16">
      <c r="C149" s="739">
        <f>IF(D97="","-",+C148+1)</f>
        <v>2055</v>
      </c>
      <c r="D149" s="691">
        <f t="shared" si="1"/>
        <v>0</v>
      </c>
      <c r="E149" s="746">
        <f t="shared" si="5"/>
        <v>0</v>
      </c>
      <c r="F149" s="691">
        <f t="shared" si="0"/>
        <v>0</v>
      </c>
      <c r="G149" s="1230">
        <f t="shared" si="2"/>
        <v>0</v>
      </c>
      <c r="H149" s="1233">
        <f t="shared" si="3"/>
        <v>0</v>
      </c>
      <c r="I149" s="743">
        <f t="shared" si="4"/>
        <v>0</v>
      </c>
      <c r="J149" s="743"/>
      <c r="K149" s="869"/>
      <c r="L149" s="749"/>
      <c r="M149" s="869"/>
      <c r="N149" s="749"/>
      <c r="O149" s="749"/>
      <c r="P149" s="692"/>
    </row>
    <row r="150" spans="3:16">
      <c r="C150" s="739">
        <f>IF(D97="","-",+C149+1)</f>
        <v>2056</v>
      </c>
      <c r="D150" s="691">
        <f t="shared" si="1"/>
        <v>0</v>
      </c>
      <c r="E150" s="746">
        <f t="shared" si="5"/>
        <v>0</v>
      </c>
      <c r="F150" s="691">
        <f t="shared" si="0"/>
        <v>0</v>
      </c>
      <c r="G150" s="1230">
        <f t="shared" si="2"/>
        <v>0</v>
      </c>
      <c r="H150" s="1233">
        <f t="shared" si="3"/>
        <v>0</v>
      </c>
      <c r="I150" s="743">
        <f t="shared" si="4"/>
        <v>0</v>
      </c>
      <c r="J150" s="743"/>
      <c r="K150" s="869"/>
      <c r="L150" s="749"/>
      <c r="M150" s="869"/>
      <c r="N150" s="749"/>
      <c r="O150" s="749"/>
      <c r="P150" s="692"/>
    </row>
    <row r="151" spans="3:16">
      <c r="C151" s="739">
        <f>IF(D97="","-",+C150+1)</f>
        <v>2057</v>
      </c>
      <c r="D151" s="691">
        <f t="shared" si="1"/>
        <v>0</v>
      </c>
      <c r="E151" s="746">
        <f t="shared" si="5"/>
        <v>0</v>
      </c>
      <c r="F151" s="691">
        <f t="shared" si="0"/>
        <v>0</v>
      </c>
      <c r="G151" s="1230">
        <f t="shared" si="2"/>
        <v>0</v>
      </c>
      <c r="H151" s="1233">
        <f t="shared" si="3"/>
        <v>0</v>
      </c>
      <c r="I151" s="743">
        <f t="shared" si="4"/>
        <v>0</v>
      </c>
      <c r="J151" s="743"/>
      <c r="K151" s="869"/>
      <c r="L151" s="749"/>
      <c r="M151" s="869"/>
      <c r="N151" s="749"/>
      <c r="O151" s="749"/>
      <c r="P151" s="692"/>
    </row>
    <row r="152" spans="3:16">
      <c r="C152" s="739">
        <f>IF(D97="","-",+C151+1)</f>
        <v>2058</v>
      </c>
      <c r="D152" s="691">
        <f t="shared" si="1"/>
        <v>0</v>
      </c>
      <c r="E152" s="746">
        <f t="shared" si="5"/>
        <v>0</v>
      </c>
      <c r="F152" s="691">
        <f t="shared" si="0"/>
        <v>0</v>
      </c>
      <c r="G152" s="1230">
        <f t="shared" si="2"/>
        <v>0</v>
      </c>
      <c r="H152" s="1233">
        <f t="shared" si="3"/>
        <v>0</v>
      </c>
      <c r="I152" s="743">
        <f t="shared" si="4"/>
        <v>0</v>
      </c>
      <c r="J152" s="743"/>
      <c r="K152" s="869"/>
      <c r="L152" s="749"/>
      <c r="M152" s="869"/>
      <c r="N152" s="749"/>
      <c r="O152" s="749"/>
      <c r="P152" s="692"/>
    </row>
    <row r="153" spans="3:16">
      <c r="C153" s="739">
        <f>IF(D97="","-",+C152+1)</f>
        <v>2059</v>
      </c>
      <c r="D153" s="691">
        <f t="shared" si="1"/>
        <v>0</v>
      </c>
      <c r="E153" s="746">
        <f t="shared" si="5"/>
        <v>0</v>
      </c>
      <c r="F153" s="691">
        <f t="shared" si="0"/>
        <v>0</v>
      </c>
      <c r="G153" s="1230">
        <f t="shared" si="2"/>
        <v>0</v>
      </c>
      <c r="H153" s="1233">
        <f t="shared" si="3"/>
        <v>0</v>
      </c>
      <c r="I153" s="743">
        <f t="shared" si="4"/>
        <v>0</v>
      </c>
      <c r="J153" s="743"/>
      <c r="K153" s="869"/>
      <c r="L153" s="749"/>
      <c r="M153" s="869"/>
      <c r="N153" s="749"/>
      <c r="O153" s="749"/>
      <c r="P153" s="692"/>
    </row>
    <row r="154" spans="3:16">
      <c r="C154" s="739">
        <f>IF(D97="","-",+C153+1)</f>
        <v>2060</v>
      </c>
      <c r="D154" s="691">
        <f t="shared" si="1"/>
        <v>0</v>
      </c>
      <c r="E154" s="746">
        <f t="shared" si="5"/>
        <v>0</v>
      </c>
      <c r="F154" s="691">
        <f t="shared" si="0"/>
        <v>0</v>
      </c>
      <c r="G154" s="1230">
        <f t="shared" si="2"/>
        <v>0</v>
      </c>
      <c r="H154" s="1233">
        <f t="shared" si="3"/>
        <v>0</v>
      </c>
      <c r="I154" s="743">
        <f t="shared" si="4"/>
        <v>0</v>
      </c>
      <c r="J154" s="743"/>
      <c r="K154" s="869"/>
      <c r="L154" s="749"/>
      <c r="M154" s="869"/>
      <c r="N154" s="749"/>
      <c r="O154" s="749"/>
      <c r="P154" s="692"/>
    </row>
    <row r="155" spans="3:16">
      <c r="C155" s="739">
        <f>IF(D97="","-",+C154+1)</f>
        <v>2061</v>
      </c>
      <c r="D155" s="691">
        <f t="shared" si="1"/>
        <v>0</v>
      </c>
      <c r="E155" s="746">
        <f t="shared" si="5"/>
        <v>0</v>
      </c>
      <c r="F155" s="691">
        <f t="shared" si="0"/>
        <v>0</v>
      </c>
      <c r="G155" s="1230">
        <f t="shared" si="2"/>
        <v>0</v>
      </c>
      <c r="H155" s="1233">
        <f t="shared" si="3"/>
        <v>0</v>
      </c>
      <c r="I155" s="743">
        <f t="shared" si="4"/>
        <v>0</v>
      </c>
      <c r="J155" s="743"/>
      <c r="K155" s="869"/>
      <c r="L155" s="749"/>
      <c r="M155" s="869"/>
      <c r="N155" s="749"/>
      <c r="O155" s="749"/>
      <c r="P155" s="692"/>
    </row>
    <row r="156" spans="3:16">
      <c r="C156" s="739">
        <f>IF(D97="","-",+C155+1)</f>
        <v>2062</v>
      </c>
      <c r="D156" s="691">
        <f t="shared" si="1"/>
        <v>0</v>
      </c>
      <c r="E156" s="746">
        <f t="shared" si="5"/>
        <v>0</v>
      </c>
      <c r="F156" s="691">
        <f t="shared" si="0"/>
        <v>0</v>
      </c>
      <c r="G156" s="1230">
        <f t="shared" si="2"/>
        <v>0</v>
      </c>
      <c r="H156" s="1233">
        <f t="shared" si="3"/>
        <v>0</v>
      </c>
      <c r="I156" s="743">
        <f t="shared" si="4"/>
        <v>0</v>
      </c>
      <c r="J156" s="743"/>
      <c r="K156" s="869"/>
      <c r="L156" s="749"/>
      <c r="M156" s="869"/>
      <c r="N156" s="749"/>
      <c r="O156" s="749"/>
      <c r="P156" s="692"/>
    </row>
    <row r="157" spans="3:16">
      <c r="C157" s="739">
        <f>IF(D97="","-",+C156+1)</f>
        <v>2063</v>
      </c>
      <c r="D157" s="691">
        <f t="shared" si="1"/>
        <v>0</v>
      </c>
      <c r="E157" s="746">
        <f t="shared" si="5"/>
        <v>0</v>
      </c>
      <c r="F157" s="691">
        <f t="shared" si="0"/>
        <v>0</v>
      </c>
      <c r="G157" s="1230">
        <f t="shared" si="2"/>
        <v>0</v>
      </c>
      <c r="H157" s="1233">
        <f t="shared" si="3"/>
        <v>0</v>
      </c>
      <c r="I157" s="743">
        <f t="shared" si="4"/>
        <v>0</v>
      </c>
      <c r="J157" s="743"/>
      <c r="K157" s="869"/>
      <c r="L157" s="749"/>
      <c r="M157" s="869"/>
      <c r="N157" s="749"/>
      <c r="O157" s="749"/>
      <c r="P157" s="692"/>
    </row>
    <row r="158" spans="3:16">
      <c r="C158" s="739">
        <f>IF(D97="","-",+C157+1)</f>
        <v>2064</v>
      </c>
      <c r="D158" s="691">
        <f t="shared" si="1"/>
        <v>0</v>
      </c>
      <c r="E158" s="746">
        <f t="shared" si="5"/>
        <v>0</v>
      </c>
      <c r="F158" s="691">
        <f t="shared" si="0"/>
        <v>0</v>
      </c>
      <c r="G158" s="1230">
        <f t="shared" si="2"/>
        <v>0</v>
      </c>
      <c r="H158" s="1233">
        <f t="shared" si="3"/>
        <v>0</v>
      </c>
      <c r="I158" s="743">
        <f t="shared" si="4"/>
        <v>0</v>
      </c>
      <c r="J158" s="743"/>
      <c r="K158" s="869"/>
      <c r="L158" s="749"/>
      <c r="M158" s="869"/>
      <c r="N158" s="749"/>
      <c r="O158" s="749"/>
      <c r="P158" s="692"/>
    </row>
    <row r="159" spans="3:16">
      <c r="C159" s="739">
        <f>IF(D97="","-",+C158+1)</f>
        <v>2065</v>
      </c>
      <c r="D159" s="691">
        <f t="shared" si="1"/>
        <v>0</v>
      </c>
      <c r="E159" s="746">
        <f t="shared" si="5"/>
        <v>0</v>
      </c>
      <c r="F159" s="691">
        <f t="shared" si="0"/>
        <v>0</v>
      </c>
      <c r="G159" s="1230">
        <f t="shared" si="2"/>
        <v>0</v>
      </c>
      <c r="H159" s="1233">
        <f t="shared" si="3"/>
        <v>0</v>
      </c>
      <c r="I159" s="743">
        <f t="shared" si="4"/>
        <v>0</v>
      </c>
      <c r="J159" s="743"/>
      <c r="K159" s="869"/>
      <c r="L159" s="749"/>
      <c r="M159" s="869"/>
      <c r="N159" s="749"/>
      <c r="O159" s="749"/>
      <c r="P159" s="692"/>
    </row>
    <row r="160" spans="3:16">
      <c r="C160" s="739">
        <f>IF(D97="","-",+C159+1)</f>
        <v>2066</v>
      </c>
      <c r="D160" s="691">
        <f t="shared" si="1"/>
        <v>0</v>
      </c>
      <c r="E160" s="746">
        <f t="shared" si="5"/>
        <v>0</v>
      </c>
      <c r="F160" s="691">
        <f t="shared" si="0"/>
        <v>0</v>
      </c>
      <c r="G160" s="1230">
        <f t="shared" si="2"/>
        <v>0</v>
      </c>
      <c r="H160" s="1233">
        <f t="shared" si="3"/>
        <v>0</v>
      </c>
      <c r="I160" s="743">
        <f t="shared" si="4"/>
        <v>0</v>
      </c>
      <c r="J160" s="743"/>
      <c r="K160" s="869"/>
      <c r="L160" s="749"/>
      <c r="M160" s="869"/>
      <c r="N160" s="749"/>
      <c r="O160" s="749"/>
      <c r="P160" s="692"/>
    </row>
    <row r="161" spans="1:16">
      <c r="C161" s="739">
        <f>IF(D97="","-",+C160+1)</f>
        <v>2067</v>
      </c>
      <c r="D161" s="691">
        <f t="shared" si="1"/>
        <v>0</v>
      </c>
      <c r="E161" s="746">
        <f t="shared" si="5"/>
        <v>0</v>
      </c>
      <c r="F161" s="691">
        <f t="shared" si="0"/>
        <v>0</v>
      </c>
      <c r="G161" s="1230">
        <f t="shared" si="2"/>
        <v>0</v>
      </c>
      <c r="H161" s="1233">
        <f t="shared" si="3"/>
        <v>0</v>
      </c>
      <c r="I161" s="743">
        <f t="shared" si="4"/>
        <v>0</v>
      </c>
      <c r="J161" s="743"/>
      <c r="K161" s="869"/>
      <c r="L161" s="749"/>
      <c r="M161" s="869"/>
      <c r="N161" s="749"/>
      <c r="O161" s="749"/>
      <c r="P161" s="692"/>
    </row>
    <row r="162" spans="1:16" ht="13.5" thickBot="1">
      <c r="C162" s="750">
        <f>IF(D97="","-",+C161+1)</f>
        <v>2068</v>
      </c>
      <c r="D162" s="751">
        <f t="shared" si="1"/>
        <v>0</v>
      </c>
      <c r="E162" s="752">
        <f t="shared" si="5"/>
        <v>0</v>
      </c>
      <c r="F162" s="751">
        <f t="shared" si="0"/>
        <v>0</v>
      </c>
      <c r="G162" s="1241">
        <f t="shared" si="2"/>
        <v>0</v>
      </c>
      <c r="H162" s="1241">
        <f t="shared" si="3"/>
        <v>0</v>
      </c>
      <c r="I162" s="754">
        <f t="shared" si="4"/>
        <v>0</v>
      </c>
      <c r="J162" s="743"/>
      <c r="K162" s="870"/>
      <c r="L162" s="756"/>
      <c r="M162" s="870"/>
      <c r="N162" s="756"/>
      <c r="O162" s="756"/>
      <c r="P162" s="692"/>
    </row>
    <row r="163" spans="1:16">
      <c r="C163" s="691" t="s">
        <v>289</v>
      </c>
      <c r="D163" s="1211"/>
      <c r="E163" s="1211">
        <f>SUM(E103:E162)</f>
        <v>8327150.3599999994</v>
      </c>
      <c r="F163" s="1211"/>
      <c r="G163" s="1211">
        <f>SUM(G103:G162)</f>
        <v>27502436.304989979</v>
      </c>
      <c r="H163" s="1211">
        <f>SUM(H103:H162)</f>
        <v>27502436.304989979</v>
      </c>
      <c r="I163" s="1211">
        <f>SUM(I103:I162)</f>
        <v>0</v>
      </c>
      <c r="J163" s="1211"/>
      <c r="K163" s="1211"/>
      <c r="L163" s="1211"/>
      <c r="M163" s="1211"/>
      <c r="N163" s="1211"/>
      <c r="O163" s="558"/>
      <c r="P163" s="1211"/>
    </row>
    <row r="164" spans="1:16">
      <c r="D164" s="581"/>
      <c r="E164" s="558"/>
      <c r="F164" s="558"/>
      <c r="G164" s="558"/>
      <c r="H164" s="1210"/>
      <c r="I164" s="1210"/>
      <c r="J164" s="1211"/>
      <c r="K164" s="1210"/>
      <c r="L164" s="1210"/>
      <c r="M164" s="1210"/>
      <c r="N164" s="1210"/>
      <c r="O164" s="558"/>
      <c r="P164" s="1211"/>
    </row>
    <row r="165" spans="1:16">
      <c r="C165" s="1242" t="s">
        <v>926</v>
      </c>
      <c r="D165" s="581"/>
      <c r="E165" s="558"/>
      <c r="F165" s="558"/>
      <c r="G165" s="558"/>
      <c r="H165" s="1210"/>
      <c r="I165" s="1210"/>
      <c r="J165" s="1211"/>
      <c r="K165" s="1210"/>
      <c r="L165" s="1210"/>
      <c r="M165" s="1210"/>
      <c r="N165" s="1210"/>
      <c r="O165" s="558"/>
      <c r="P165" s="1211"/>
    </row>
    <row r="166" spans="1:16">
      <c r="D166" s="581"/>
      <c r="E166" s="558"/>
      <c r="F166" s="558"/>
      <c r="G166" s="558"/>
      <c r="H166" s="1210"/>
      <c r="I166" s="1210"/>
      <c r="J166" s="1211"/>
      <c r="K166" s="1210"/>
      <c r="L166" s="1210"/>
      <c r="M166" s="1210"/>
      <c r="N166" s="1210"/>
      <c r="O166" s="558"/>
      <c r="P166" s="1211"/>
    </row>
    <row r="167" spans="1:16" ht="12.75" customHeight="1">
      <c r="C167" s="704" t="s">
        <v>927</v>
      </c>
      <c r="D167" s="691"/>
      <c r="E167" s="691"/>
      <c r="F167" s="691"/>
      <c r="G167" s="1211"/>
      <c r="H167" s="1211"/>
      <c r="I167" s="692"/>
      <c r="J167" s="692"/>
      <c r="K167" s="692"/>
      <c r="L167" s="692"/>
      <c r="M167" s="692"/>
      <c r="N167" s="692"/>
      <c r="O167" s="558"/>
      <c r="P167" s="692"/>
    </row>
    <row r="168" spans="1:16">
      <c r="C168" s="690" t="s">
        <v>477</v>
      </c>
      <c r="D168" s="691"/>
      <c r="E168" s="691"/>
      <c r="F168" s="691"/>
      <c r="G168" s="1211"/>
      <c r="H168" s="1211"/>
      <c r="I168" s="692"/>
      <c r="J168" s="692"/>
      <c r="K168" s="692"/>
      <c r="L168" s="692"/>
      <c r="M168" s="692"/>
      <c r="N168" s="692"/>
      <c r="O168" s="558"/>
      <c r="P168" s="692"/>
    </row>
    <row r="169" spans="1:16">
      <c r="C169" s="690" t="s">
        <v>290</v>
      </c>
      <c r="D169" s="691"/>
      <c r="E169" s="691"/>
      <c r="F169" s="691"/>
      <c r="G169" s="1211"/>
      <c r="H169" s="1211"/>
      <c r="I169" s="692"/>
      <c r="J169" s="692"/>
      <c r="K169" s="692"/>
      <c r="L169" s="692"/>
      <c r="M169" s="692"/>
      <c r="N169" s="692"/>
      <c r="O169" s="558"/>
      <c r="P169" s="692"/>
    </row>
    <row r="170" spans="1:16">
      <c r="C170" s="690"/>
      <c r="D170" s="691"/>
      <c r="E170" s="691"/>
      <c r="F170" s="691"/>
      <c r="G170" s="1211"/>
      <c r="H170" s="1211"/>
      <c r="I170" s="692"/>
      <c r="J170" s="692"/>
      <c r="K170" s="692"/>
      <c r="L170" s="692"/>
      <c r="M170" s="692"/>
      <c r="N170" s="692"/>
      <c r="O170" s="558"/>
      <c r="P170" s="692"/>
    </row>
    <row r="171" spans="1:16">
      <c r="C171" s="1601" t="s">
        <v>461</v>
      </c>
      <c r="D171" s="1601"/>
      <c r="E171" s="1601"/>
      <c r="F171" s="1601"/>
      <c r="G171" s="1601"/>
      <c r="H171" s="1601"/>
      <c r="I171" s="1601"/>
      <c r="J171" s="1601"/>
      <c r="K171" s="1601"/>
      <c r="L171" s="1601"/>
      <c r="M171" s="1601"/>
      <c r="N171" s="1601"/>
      <c r="O171" s="1601"/>
    </row>
    <row r="172" spans="1:16">
      <c r="C172" s="1601"/>
      <c r="D172" s="1601"/>
      <c r="E172" s="1601"/>
      <c r="F172" s="1601"/>
      <c r="G172" s="1601"/>
      <c r="H172" s="1601"/>
      <c r="I172" s="1601"/>
      <c r="J172" s="1601"/>
      <c r="K172" s="1601"/>
      <c r="L172" s="1601"/>
      <c r="M172" s="1601"/>
      <c r="N172" s="1601"/>
      <c r="O172" s="1601"/>
    </row>
    <row r="173" spans="1:16" ht="20.25">
      <c r="A173" s="693" t="s">
        <v>923</v>
      </c>
      <c r="B173" s="594"/>
      <c r="C173" s="673"/>
      <c r="D173" s="581"/>
      <c r="E173" s="558"/>
      <c r="F173" s="663"/>
      <c r="G173" s="558"/>
      <c r="H173" s="1210"/>
      <c r="K173" s="694"/>
      <c r="L173" s="694"/>
      <c r="M173" s="694"/>
      <c r="N173" s="609" t="str">
        <f>"Page "&amp;P173&amp;" of "</f>
        <v xml:space="preserve">Page 3 of </v>
      </c>
      <c r="O173" s="610">
        <f>COUNT(P$6:P$59527)</f>
        <v>10</v>
      </c>
      <c r="P173" s="558">
        <v>3</v>
      </c>
    </row>
    <row r="174" spans="1:16">
      <c r="B174" s="594"/>
      <c r="C174" s="558"/>
      <c r="D174" s="581"/>
      <c r="E174" s="558"/>
      <c r="F174" s="558"/>
      <c r="G174" s="558"/>
      <c r="H174" s="1210"/>
      <c r="I174" s="558"/>
      <c r="J174" s="606"/>
      <c r="K174" s="558"/>
      <c r="L174" s="558"/>
      <c r="M174" s="558"/>
      <c r="N174" s="558"/>
      <c r="O174" s="558"/>
    </row>
    <row r="175" spans="1:16" ht="18">
      <c r="B175" s="613" t="s">
        <v>175</v>
      </c>
      <c r="C175" s="695" t="s">
        <v>291</v>
      </c>
      <c r="D175" s="581"/>
      <c r="E175" s="558"/>
      <c r="F175" s="558"/>
      <c r="G175" s="558"/>
      <c r="H175" s="1210"/>
      <c r="I175" s="1210"/>
      <c r="J175" s="1211"/>
      <c r="K175" s="1210"/>
      <c r="L175" s="1210"/>
      <c r="M175" s="1210"/>
      <c r="N175" s="1210"/>
      <c r="O175" s="558"/>
    </row>
    <row r="176" spans="1:16" ht="18.75">
      <c r="B176" s="613"/>
      <c r="C176" s="612"/>
      <c r="D176" s="581"/>
      <c r="E176" s="558"/>
      <c r="F176" s="558"/>
      <c r="G176" s="558"/>
      <c r="H176" s="1210"/>
      <c r="I176" s="1210"/>
      <c r="J176" s="1211"/>
      <c r="K176" s="1210"/>
      <c r="L176" s="1210"/>
      <c r="M176" s="1210"/>
      <c r="N176" s="1210"/>
      <c r="O176" s="558"/>
    </row>
    <row r="177" spans="1:15" ht="18.75">
      <c r="B177" s="613"/>
      <c r="C177" s="612" t="s">
        <v>292</v>
      </c>
      <c r="D177" s="581"/>
      <c r="E177" s="558"/>
      <c r="F177" s="558"/>
      <c r="G177" s="558"/>
      <c r="H177" s="1210"/>
      <c r="I177" s="1210"/>
      <c r="J177" s="1211"/>
      <c r="K177" s="1210"/>
      <c r="L177" s="1210"/>
      <c r="M177" s="1210"/>
      <c r="N177" s="1210"/>
      <c r="O177" s="558"/>
    </row>
    <row r="178" spans="1:15" ht="15.75" thickBot="1">
      <c r="C178" s="411"/>
      <c r="D178" s="581"/>
      <c r="E178" s="558"/>
      <c r="F178" s="558"/>
      <c r="G178" s="558"/>
      <c r="H178" s="1210"/>
      <c r="I178" s="1210"/>
      <c r="J178" s="1211"/>
      <c r="K178" s="1210"/>
      <c r="L178" s="1210"/>
      <c r="M178" s="1210"/>
      <c r="N178" s="1210"/>
      <c r="O178" s="558"/>
    </row>
    <row r="179" spans="1:15" ht="15.75">
      <c r="C179" s="614" t="s">
        <v>293</v>
      </c>
      <c r="D179" s="581"/>
      <c r="E179" s="558"/>
      <c r="F179" s="558"/>
      <c r="G179" s="1212"/>
      <c r="H179" s="558" t="s">
        <v>272</v>
      </c>
      <c r="I179" s="558"/>
      <c r="J179" s="606"/>
      <c r="K179" s="696" t="s">
        <v>297</v>
      </c>
      <c r="L179" s="697"/>
      <c r="M179" s="698"/>
      <c r="N179" s="1213">
        <f>VLOOKUP(I185,C192:O251,5)</f>
        <v>62766.664861153491</v>
      </c>
      <c r="O179" s="558"/>
    </row>
    <row r="180" spans="1:15" ht="15.75">
      <c r="C180" s="614"/>
      <c r="D180" s="581"/>
      <c r="E180" s="558"/>
      <c r="F180" s="558"/>
      <c r="G180" s="558"/>
      <c r="H180" s="1214"/>
      <c r="I180" s="1214"/>
      <c r="J180" s="1215"/>
      <c r="K180" s="701" t="s">
        <v>298</v>
      </c>
      <c r="L180" s="1216"/>
      <c r="M180" s="606"/>
      <c r="N180" s="1217">
        <f>VLOOKUP(I185,C192:O251,6)</f>
        <v>62766.664861153491</v>
      </c>
      <c r="O180" s="558"/>
    </row>
    <row r="181" spans="1:15" ht="13.5" thickBot="1">
      <c r="C181" s="702" t="s">
        <v>294</v>
      </c>
      <c r="D181" s="1598" t="s">
        <v>928</v>
      </c>
      <c r="E181" s="1599"/>
      <c r="F181" s="1599"/>
      <c r="G181" s="1599"/>
      <c r="H181" s="1599"/>
      <c r="I181" s="1599"/>
      <c r="J181" s="1211"/>
      <c r="K181" s="1218" t="s">
        <v>451</v>
      </c>
      <c r="L181" s="1219"/>
      <c r="M181" s="1219"/>
      <c r="N181" s="1220">
        <f>+N180-N179</f>
        <v>0</v>
      </c>
      <c r="O181" s="558"/>
    </row>
    <row r="182" spans="1:15">
      <c r="C182" s="704"/>
      <c r="D182" s="1599"/>
      <c r="E182" s="1599"/>
      <c r="F182" s="1599"/>
      <c r="G182" s="1599"/>
      <c r="H182" s="1599"/>
      <c r="I182" s="1599"/>
      <c r="J182" s="1211"/>
      <c r="K182" s="1210"/>
      <c r="L182" s="1210"/>
      <c r="M182" s="1210"/>
      <c r="N182" s="1210"/>
      <c r="O182" s="558"/>
    </row>
    <row r="183" spans="1:15" ht="13.5" thickBot="1">
      <c r="C183" s="707"/>
      <c r="D183" s="708"/>
      <c r="E183" s="706"/>
      <c r="F183" s="706"/>
      <c r="G183" s="706"/>
      <c r="H183" s="706"/>
      <c r="I183" s="706"/>
      <c r="J183" s="709"/>
      <c r="K183" s="706"/>
      <c r="L183" s="706"/>
      <c r="M183" s="706"/>
      <c r="N183" s="706"/>
      <c r="O183" s="594"/>
    </row>
    <row r="184" spans="1:15" ht="13.5" thickBot="1">
      <c r="C184" s="710" t="s">
        <v>295</v>
      </c>
      <c r="D184" s="711"/>
      <c r="E184" s="711"/>
      <c r="F184" s="711"/>
      <c r="G184" s="711"/>
      <c r="H184" s="711"/>
      <c r="I184" s="712"/>
      <c r="J184" s="713"/>
      <c r="K184" s="558"/>
      <c r="L184" s="558"/>
      <c r="M184" s="558"/>
      <c r="N184" s="558"/>
      <c r="O184" s="714"/>
    </row>
    <row r="185" spans="1:15" ht="15">
      <c r="C185" s="716" t="s">
        <v>273</v>
      </c>
      <c r="D185" s="1221">
        <v>585981.21</v>
      </c>
      <c r="E185" s="673" t="s">
        <v>274</v>
      </c>
      <c r="G185" s="717"/>
      <c r="H185" s="717"/>
      <c r="I185" s="718">
        <f>L26</f>
        <v>2025</v>
      </c>
      <c r="J185" s="604"/>
      <c r="K185" s="1600" t="s">
        <v>460</v>
      </c>
      <c r="L185" s="1600"/>
      <c r="M185" s="1600"/>
      <c r="N185" s="1600"/>
      <c r="O185" s="1600"/>
    </row>
    <row r="186" spans="1:15">
      <c r="C186" s="716" t="s">
        <v>276</v>
      </c>
      <c r="D186" s="864">
        <v>2013</v>
      </c>
      <c r="E186" s="716" t="s">
        <v>277</v>
      </c>
      <c r="F186" s="717"/>
      <c r="H186" s="345"/>
      <c r="I186" s="867">
        <f>IF(G179="",0,$F$15)</f>
        <v>0</v>
      </c>
      <c r="J186" s="719"/>
      <c r="K186" s="1211" t="s">
        <v>460</v>
      </c>
    </row>
    <row r="187" spans="1:15">
      <c r="C187" s="716" t="s">
        <v>278</v>
      </c>
      <c r="D187" s="1221">
        <v>6</v>
      </c>
      <c r="E187" s="716" t="s">
        <v>279</v>
      </c>
      <c r="F187" s="717"/>
      <c r="H187" s="345"/>
      <c r="I187" s="720">
        <f>$G$70</f>
        <v>0.11808937687765908</v>
      </c>
      <c r="J187" s="721"/>
      <c r="K187" s="345" t="str">
        <f>"          INPUT PROJECTED ARR (WITH &amp; WITHOUT INCENTIVES) FROM EACH PRIOR YEAR"</f>
        <v xml:space="preserve">          INPUT PROJECTED ARR (WITH &amp; WITHOUT INCENTIVES) FROM EACH PRIOR YEAR</v>
      </c>
    </row>
    <row r="188" spans="1:15">
      <c r="C188" s="716" t="s">
        <v>280</v>
      </c>
      <c r="D188" s="722">
        <f>G$79</f>
        <v>38</v>
      </c>
      <c r="E188" s="716" t="s">
        <v>281</v>
      </c>
      <c r="F188" s="717"/>
      <c r="H188" s="345"/>
      <c r="I188" s="720">
        <f>IF(G179="",I187,$G$67)</f>
        <v>0.11808937687765908</v>
      </c>
      <c r="J188" s="723"/>
      <c r="K188" s="345" t="s">
        <v>358</v>
      </c>
    </row>
    <row r="189" spans="1:15" ht="13.5" thickBot="1">
      <c r="C189" s="716" t="s">
        <v>282</v>
      </c>
      <c r="D189" s="866" t="s">
        <v>925</v>
      </c>
      <c r="E189" s="724" t="s">
        <v>283</v>
      </c>
      <c r="F189" s="725"/>
      <c r="G189" s="726"/>
      <c r="H189" s="726"/>
      <c r="I189" s="1220">
        <f>IF(D185=0,0,D185/D188)</f>
        <v>15420.558157894737</v>
      </c>
      <c r="J189" s="1211"/>
      <c r="K189" s="1211" t="s">
        <v>364</v>
      </c>
      <c r="L189" s="1211"/>
      <c r="M189" s="1211"/>
      <c r="N189" s="1211"/>
      <c r="O189" s="606"/>
    </row>
    <row r="190" spans="1:15" ht="51">
      <c r="A190" s="545"/>
      <c r="B190" s="1222"/>
      <c r="C190" s="727" t="s">
        <v>273</v>
      </c>
      <c r="D190" s="1223" t="s">
        <v>284</v>
      </c>
      <c r="E190" s="1224" t="s">
        <v>285</v>
      </c>
      <c r="F190" s="1223" t="s">
        <v>286</v>
      </c>
      <c r="G190" s="1224" t="s">
        <v>357</v>
      </c>
      <c r="H190" s="1225" t="s">
        <v>357</v>
      </c>
      <c r="I190" s="727" t="s">
        <v>296</v>
      </c>
      <c r="J190" s="731"/>
      <c r="K190" s="1224" t="s">
        <v>366</v>
      </c>
      <c r="L190" s="1226"/>
      <c r="M190" s="1224" t="s">
        <v>366</v>
      </c>
      <c r="N190" s="1226"/>
      <c r="O190" s="1226"/>
    </row>
    <row r="191" spans="1:15" ht="13.5" thickBot="1">
      <c r="C191" s="733" t="s">
        <v>178</v>
      </c>
      <c r="D191" s="734" t="s">
        <v>179</v>
      </c>
      <c r="E191" s="733" t="s">
        <v>38</v>
      </c>
      <c r="F191" s="734" t="s">
        <v>179</v>
      </c>
      <c r="G191" s="1227" t="s">
        <v>299</v>
      </c>
      <c r="H191" s="1228" t="s">
        <v>301</v>
      </c>
      <c r="I191" s="737" t="s">
        <v>390</v>
      </c>
      <c r="J191" s="738"/>
      <c r="K191" s="1227" t="s">
        <v>288</v>
      </c>
      <c r="L191" s="1229"/>
      <c r="M191" s="1227" t="s">
        <v>301</v>
      </c>
      <c r="N191" s="1229"/>
      <c r="O191" s="1229"/>
    </row>
    <row r="192" spans="1:15">
      <c r="C192" s="739">
        <f>IF(D186= "","-",D186)</f>
        <v>2013</v>
      </c>
      <c r="D192" s="691">
        <f>+D185</f>
        <v>585981.21</v>
      </c>
      <c r="E192" s="1230">
        <f>+I189/12*(12-D187)</f>
        <v>7710.2790789473675</v>
      </c>
      <c r="F192" s="691">
        <f t="shared" ref="F192:F251" si="6">+D192-E192</f>
        <v>578270.93092105258</v>
      </c>
      <c r="G192" s="1231">
        <f>+$I$187*((D192+F192)/2)+E192</f>
        <v>76453.184003871182</v>
      </c>
      <c r="H192" s="1232">
        <f>+$I$188*((D192+F192)/2)+E192</f>
        <v>76453.184003871182</v>
      </c>
      <c r="I192" s="743">
        <f>+H192-G192</f>
        <v>0</v>
      </c>
      <c r="J192" s="743"/>
      <c r="K192" s="1234">
        <v>92625</v>
      </c>
      <c r="L192" s="745"/>
      <c r="M192" s="1234">
        <v>92625</v>
      </c>
      <c r="N192" s="745"/>
      <c r="O192" s="745"/>
    </row>
    <row r="193" spans="3:15">
      <c r="C193" s="739">
        <f>IF(D186="","-",+C192+1)</f>
        <v>2014</v>
      </c>
      <c r="D193" s="691">
        <f t="shared" ref="D193:D251" si="7">F192</f>
        <v>578270.93092105258</v>
      </c>
      <c r="E193" s="746">
        <f>IF(D193&gt;$I$189,$I$189,D193)</f>
        <v>15420.558157894737</v>
      </c>
      <c r="F193" s="691">
        <f t="shared" si="6"/>
        <v>562850.37276315782</v>
      </c>
      <c r="G193" s="1230">
        <f t="shared" ref="G193:G251" si="8">+$I$187*((D193+F193)/2)+E193</f>
        <v>82797.710004839915</v>
      </c>
      <c r="H193" s="1233">
        <f t="shared" ref="H193:H251" si="9">+$I$188*((D193+F193)/2)+E193</f>
        <v>82797.710004839915</v>
      </c>
      <c r="I193" s="743">
        <f t="shared" ref="I193:I251" si="10">+H193-G193</f>
        <v>0</v>
      </c>
      <c r="J193" s="743"/>
      <c r="K193" s="869">
        <v>87393</v>
      </c>
      <c r="L193" s="749"/>
      <c r="M193" s="869">
        <v>87393</v>
      </c>
      <c r="N193" s="749"/>
      <c r="O193" s="749"/>
    </row>
    <row r="194" spans="3:15">
      <c r="C194" s="739">
        <f>IF(D186="","-",+C193+1)</f>
        <v>2015</v>
      </c>
      <c r="D194" s="691">
        <f t="shared" si="7"/>
        <v>562850.37276315782</v>
      </c>
      <c r="E194" s="746">
        <f t="shared" ref="E194:E251" si="11">IF(D194&gt;$I$189,$I$189,D194)</f>
        <v>15420.558157894737</v>
      </c>
      <c r="F194" s="691">
        <f t="shared" si="6"/>
        <v>547429.81460526306</v>
      </c>
      <c r="G194" s="1230">
        <f t="shared" si="8"/>
        <v>80976.70590086843</v>
      </c>
      <c r="H194" s="1233">
        <f t="shared" si="9"/>
        <v>80976.70590086843</v>
      </c>
      <c r="I194" s="743">
        <f t="shared" si="10"/>
        <v>0</v>
      </c>
      <c r="J194" s="743"/>
      <c r="K194" s="869">
        <v>87463</v>
      </c>
      <c r="L194" s="749"/>
      <c r="M194" s="869">
        <v>87463</v>
      </c>
      <c r="N194" s="749"/>
      <c r="O194" s="749"/>
    </row>
    <row r="195" spans="3:15">
      <c r="C195" s="739">
        <f>IF(D186="","-",+C194+1)</f>
        <v>2016</v>
      </c>
      <c r="D195" s="691">
        <f t="shared" si="7"/>
        <v>547429.81460526306</v>
      </c>
      <c r="E195" s="746">
        <f t="shared" si="11"/>
        <v>15420.558157894737</v>
      </c>
      <c r="F195" s="691">
        <f t="shared" si="6"/>
        <v>532009.2564473683</v>
      </c>
      <c r="G195" s="1230">
        <f t="shared" si="8"/>
        <v>79155.70179689693</v>
      </c>
      <c r="H195" s="1233">
        <f t="shared" si="9"/>
        <v>79155.70179689693</v>
      </c>
      <c r="I195" s="743">
        <f t="shared" si="10"/>
        <v>0</v>
      </c>
      <c r="J195" s="743"/>
      <c r="K195" s="869">
        <v>85936</v>
      </c>
      <c r="L195" s="749"/>
      <c r="M195" s="869">
        <v>85936</v>
      </c>
      <c r="N195" s="749"/>
      <c r="O195" s="749"/>
    </row>
    <row r="196" spans="3:15">
      <c r="C196" s="739">
        <f>IF(D186="","-",+C195+1)</f>
        <v>2017</v>
      </c>
      <c r="D196" s="691">
        <f t="shared" si="7"/>
        <v>532009.2564473683</v>
      </c>
      <c r="E196" s="746">
        <f t="shared" si="11"/>
        <v>15420.558157894737</v>
      </c>
      <c r="F196" s="691">
        <f t="shared" si="6"/>
        <v>516588.69828947354</v>
      </c>
      <c r="G196" s="1230">
        <f t="shared" si="8"/>
        <v>77334.697692925445</v>
      </c>
      <c r="H196" s="1233">
        <f t="shared" si="9"/>
        <v>77334.697692925445</v>
      </c>
      <c r="I196" s="743">
        <f t="shared" si="10"/>
        <v>0</v>
      </c>
      <c r="J196" s="743"/>
      <c r="K196" s="869">
        <v>77494</v>
      </c>
      <c r="L196" s="749"/>
      <c r="M196" s="869">
        <v>77494</v>
      </c>
      <c r="N196" s="749"/>
      <c r="O196" s="749"/>
    </row>
    <row r="197" spans="3:15">
      <c r="C197" s="1247">
        <f>IF(D186="","-",+C196+1)</f>
        <v>2018</v>
      </c>
      <c r="D197" s="1235">
        <f t="shared" si="7"/>
        <v>516588.69828947354</v>
      </c>
      <c r="E197" s="1236">
        <f t="shared" si="11"/>
        <v>15420.558157894737</v>
      </c>
      <c r="F197" s="1235">
        <f t="shared" si="6"/>
        <v>501168.14013157878</v>
      </c>
      <c r="G197" s="1237">
        <f t="shared" si="8"/>
        <v>75513.693588953945</v>
      </c>
      <c r="H197" s="1238">
        <f t="shared" si="9"/>
        <v>75513.693588953945</v>
      </c>
      <c r="I197" s="1239">
        <f t="shared" si="10"/>
        <v>0</v>
      </c>
      <c r="J197" s="743"/>
      <c r="K197" s="869">
        <v>70215</v>
      </c>
      <c r="L197" s="749"/>
      <c r="M197" s="869">
        <v>70215</v>
      </c>
      <c r="N197" s="749"/>
      <c r="O197" s="749"/>
    </row>
    <row r="198" spans="3:15">
      <c r="C198" s="739">
        <f>IF(D186="","-",+C197+1)</f>
        <v>2019</v>
      </c>
      <c r="D198" s="691">
        <f t="shared" si="7"/>
        <v>501168.14013157878</v>
      </c>
      <c r="E198" s="746">
        <f t="shared" si="11"/>
        <v>15420.558157894737</v>
      </c>
      <c r="F198" s="691">
        <f t="shared" si="6"/>
        <v>485747.58197368402</v>
      </c>
      <c r="G198" s="1230">
        <f t="shared" si="8"/>
        <v>73692.689484982446</v>
      </c>
      <c r="H198" s="1233">
        <f t="shared" si="9"/>
        <v>73692.689484982446</v>
      </c>
      <c r="I198" s="743">
        <f t="shared" si="10"/>
        <v>0</v>
      </c>
      <c r="J198" s="743"/>
      <c r="K198" s="869">
        <v>65616</v>
      </c>
      <c r="L198" s="749"/>
      <c r="M198" s="869">
        <v>65616</v>
      </c>
      <c r="N198" s="749"/>
      <c r="O198" s="749"/>
    </row>
    <row r="199" spans="3:15">
      <c r="C199" s="739">
        <f>IF(D186="","-",+C198+1)</f>
        <v>2020</v>
      </c>
      <c r="D199" s="691">
        <f t="shared" si="7"/>
        <v>485747.58197368402</v>
      </c>
      <c r="E199" s="746">
        <f t="shared" si="11"/>
        <v>15420.558157894737</v>
      </c>
      <c r="F199" s="691">
        <f t="shared" si="6"/>
        <v>470327.02381578926</v>
      </c>
      <c r="G199" s="1230">
        <f t="shared" si="8"/>
        <v>71871.685381010961</v>
      </c>
      <c r="H199" s="1233">
        <f t="shared" si="9"/>
        <v>71871.685381010961</v>
      </c>
      <c r="I199" s="743">
        <f t="shared" si="10"/>
        <v>0</v>
      </c>
      <c r="J199" s="743"/>
      <c r="K199" s="869">
        <v>61867.097648006813</v>
      </c>
      <c r="L199" s="749"/>
      <c r="M199" s="869">
        <v>61867.097648006813</v>
      </c>
      <c r="N199" s="749"/>
      <c r="O199" s="749"/>
    </row>
    <row r="200" spans="3:15">
      <c r="C200" s="739">
        <f>IF(D186="","-",+C199+1)</f>
        <v>2021</v>
      </c>
      <c r="D200" s="691">
        <f t="shared" si="7"/>
        <v>470327.02381578926</v>
      </c>
      <c r="E200" s="746">
        <f t="shared" si="11"/>
        <v>15420.558157894737</v>
      </c>
      <c r="F200" s="691">
        <f t="shared" si="6"/>
        <v>454906.4656578945</v>
      </c>
      <c r="G200" s="1230">
        <f t="shared" si="8"/>
        <v>70050.681277039461</v>
      </c>
      <c r="H200" s="1233">
        <f t="shared" si="9"/>
        <v>70050.681277039461</v>
      </c>
      <c r="I200" s="743">
        <f t="shared" si="10"/>
        <v>0</v>
      </c>
      <c r="J200" s="743"/>
      <c r="K200" s="869">
        <v>61040.939819297004</v>
      </c>
      <c r="L200" s="749"/>
      <c r="M200" s="869">
        <v>61040.939819297004</v>
      </c>
      <c r="N200" s="749"/>
      <c r="O200" s="749"/>
    </row>
    <row r="201" spans="3:15">
      <c r="C201" s="739">
        <f>IF(D186="","-",+C200+1)</f>
        <v>2022</v>
      </c>
      <c r="D201" s="691">
        <f t="shared" si="7"/>
        <v>454906.4656578945</v>
      </c>
      <c r="E201" s="746">
        <f t="shared" si="11"/>
        <v>15420.558157894737</v>
      </c>
      <c r="F201" s="691">
        <f t="shared" si="6"/>
        <v>439485.90749999974</v>
      </c>
      <c r="G201" s="1230">
        <f t="shared" si="8"/>
        <v>68229.677173067976</v>
      </c>
      <c r="H201" s="1233">
        <f t="shared" si="9"/>
        <v>68229.677173067976</v>
      </c>
      <c r="I201" s="743">
        <f t="shared" si="10"/>
        <v>0</v>
      </c>
      <c r="J201" s="743"/>
      <c r="K201" s="869">
        <v>61868.679962206836</v>
      </c>
      <c r="L201" s="749"/>
      <c r="M201" s="869">
        <v>61868.679962206836</v>
      </c>
      <c r="N201" s="749"/>
      <c r="O201" s="749"/>
    </row>
    <row r="202" spans="3:15">
      <c r="C202" s="739">
        <f>IF(D186="","-",+C201+1)</f>
        <v>2023</v>
      </c>
      <c r="D202" s="691">
        <f t="shared" si="7"/>
        <v>439485.90749999974</v>
      </c>
      <c r="E202" s="746">
        <f t="shared" si="11"/>
        <v>15420.558157894737</v>
      </c>
      <c r="F202" s="691">
        <f t="shared" si="6"/>
        <v>424065.34934210498</v>
      </c>
      <c r="G202" s="1230">
        <f t="shared" si="8"/>
        <v>66408.673069096476</v>
      </c>
      <c r="H202" s="1233">
        <f t="shared" si="9"/>
        <v>66408.673069096476</v>
      </c>
      <c r="I202" s="743">
        <f t="shared" si="10"/>
        <v>0</v>
      </c>
      <c r="J202" s="743"/>
      <c r="K202" s="869">
        <v>65589.127763763885</v>
      </c>
      <c r="L202" s="749"/>
      <c r="M202" s="869">
        <v>65589.127763763885</v>
      </c>
      <c r="N202" s="749"/>
      <c r="O202" s="749"/>
    </row>
    <row r="203" spans="3:15">
      <c r="C203" s="739">
        <f>IF(D186="","-",+C202+1)</f>
        <v>2024</v>
      </c>
      <c r="D203" s="691">
        <f t="shared" si="7"/>
        <v>424065.34934210498</v>
      </c>
      <c r="E203" s="746">
        <f t="shared" si="11"/>
        <v>15420.558157894737</v>
      </c>
      <c r="F203" s="691">
        <f t="shared" si="6"/>
        <v>408644.79118421022</v>
      </c>
      <c r="G203" s="1230">
        <f t="shared" si="8"/>
        <v>64587.668965124984</v>
      </c>
      <c r="H203" s="1233">
        <f t="shared" si="9"/>
        <v>64587.668965124984</v>
      </c>
      <c r="I203" s="743">
        <f t="shared" si="10"/>
        <v>0</v>
      </c>
      <c r="J203" s="743"/>
      <c r="K203" s="869">
        <v>65828.944266057893</v>
      </c>
      <c r="L203" s="749"/>
      <c r="M203" s="869">
        <v>65828.944266057893</v>
      </c>
      <c r="N203" s="749"/>
      <c r="O203" s="749"/>
    </row>
    <row r="204" spans="3:15">
      <c r="C204" s="739">
        <f>IF(D186="","-",+C203+1)</f>
        <v>2025</v>
      </c>
      <c r="D204" s="691">
        <f t="shared" si="7"/>
        <v>408644.79118421022</v>
      </c>
      <c r="E204" s="746">
        <f t="shared" si="11"/>
        <v>15420.558157894737</v>
      </c>
      <c r="F204" s="691">
        <f t="shared" si="6"/>
        <v>393224.23302631546</v>
      </c>
      <c r="G204" s="1230">
        <f t="shared" si="8"/>
        <v>62766.664861153491</v>
      </c>
      <c r="H204" s="1233">
        <f t="shared" si="9"/>
        <v>62766.664861153491</v>
      </c>
      <c r="I204" s="743">
        <f t="shared" si="10"/>
        <v>0</v>
      </c>
      <c r="J204" s="743"/>
      <c r="K204" s="869"/>
      <c r="L204" s="749"/>
      <c r="M204" s="869"/>
      <c r="N204" s="749"/>
      <c r="O204" s="749"/>
    </row>
    <row r="205" spans="3:15">
      <c r="C205" s="739">
        <f>IF(D186="","-",+C204+1)</f>
        <v>2026</v>
      </c>
      <c r="D205" s="691">
        <f t="shared" si="7"/>
        <v>393224.23302631546</v>
      </c>
      <c r="E205" s="746">
        <f t="shared" si="11"/>
        <v>15420.558157894737</v>
      </c>
      <c r="F205" s="691">
        <f t="shared" si="6"/>
        <v>377803.6748684207</v>
      </c>
      <c r="G205" s="1230">
        <f t="shared" si="8"/>
        <v>60945.660757181991</v>
      </c>
      <c r="H205" s="1233">
        <f t="shared" si="9"/>
        <v>60945.660757181991</v>
      </c>
      <c r="I205" s="743">
        <f t="shared" si="10"/>
        <v>0</v>
      </c>
      <c r="J205" s="743"/>
      <c r="K205" s="869"/>
      <c r="L205" s="749"/>
      <c r="M205" s="869"/>
      <c r="N205" s="749"/>
      <c r="O205" s="749"/>
    </row>
    <row r="206" spans="3:15">
      <c r="C206" s="739">
        <f>IF(D186="","-",+C205+1)</f>
        <v>2027</v>
      </c>
      <c r="D206" s="691">
        <f t="shared" si="7"/>
        <v>377803.6748684207</v>
      </c>
      <c r="E206" s="746">
        <f t="shared" si="11"/>
        <v>15420.558157894737</v>
      </c>
      <c r="F206" s="691">
        <f t="shared" si="6"/>
        <v>362383.11671052594</v>
      </c>
      <c r="G206" s="1230">
        <f t="shared" si="8"/>
        <v>59124.656653210499</v>
      </c>
      <c r="H206" s="1233">
        <f t="shared" si="9"/>
        <v>59124.656653210499</v>
      </c>
      <c r="I206" s="743">
        <f t="shared" si="10"/>
        <v>0</v>
      </c>
      <c r="J206" s="743"/>
      <c r="K206" s="869"/>
      <c r="L206" s="749"/>
      <c r="M206" s="869"/>
      <c r="N206" s="749"/>
      <c r="O206" s="749"/>
    </row>
    <row r="207" spans="3:15">
      <c r="C207" s="739">
        <f>IF(D186="","-",+C206+1)</f>
        <v>2028</v>
      </c>
      <c r="D207" s="691">
        <f t="shared" si="7"/>
        <v>362383.11671052594</v>
      </c>
      <c r="E207" s="746">
        <f t="shared" si="11"/>
        <v>15420.558157894737</v>
      </c>
      <c r="F207" s="691">
        <f t="shared" si="6"/>
        <v>346962.55855263118</v>
      </c>
      <c r="G207" s="1230">
        <f t="shared" si="8"/>
        <v>57303.652549239006</v>
      </c>
      <c r="H207" s="1233">
        <f t="shared" si="9"/>
        <v>57303.652549239006</v>
      </c>
      <c r="I207" s="743">
        <f t="shared" si="10"/>
        <v>0</v>
      </c>
      <c r="J207" s="743"/>
      <c r="K207" s="869"/>
      <c r="L207" s="749"/>
      <c r="M207" s="869"/>
      <c r="N207" s="749"/>
      <c r="O207" s="749"/>
    </row>
    <row r="208" spans="3:15">
      <c r="C208" s="739">
        <f>IF(D186="","-",+C207+1)</f>
        <v>2029</v>
      </c>
      <c r="D208" s="691">
        <f t="shared" si="7"/>
        <v>346962.55855263118</v>
      </c>
      <c r="E208" s="746">
        <f t="shared" si="11"/>
        <v>15420.558157894737</v>
      </c>
      <c r="F208" s="691">
        <f t="shared" si="6"/>
        <v>331542.00039473642</v>
      </c>
      <c r="G208" s="1230">
        <f t="shared" si="8"/>
        <v>55482.648445267507</v>
      </c>
      <c r="H208" s="1233">
        <f t="shared" si="9"/>
        <v>55482.648445267507</v>
      </c>
      <c r="I208" s="743">
        <f t="shared" si="10"/>
        <v>0</v>
      </c>
      <c r="J208" s="743"/>
      <c r="K208" s="869"/>
      <c r="L208" s="749"/>
      <c r="M208" s="869"/>
      <c r="N208" s="749"/>
      <c r="O208" s="749"/>
    </row>
    <row r="209" spans="3:15">
      <c r="C209" s="739">
        <f>IF(D186="","-",+C208+1)</f>
        <v>2030</v>
      </c>
      <c r="D209" s="691">
        <f t="shared" si="7"/>
        <v>331542.00039473642</v>
      </c>
      <c r="E209" s="746">
        <f t="shared" si="11"/>
        <v>15420.558157894737</v>
      </c>
      <c r="F209" s="691">
        <f t="shared" si="6"/>
        <v>316121.44223684166</v>
      </c>
      <c r="G209" s="1230">
        <f t="shared" si="8"/>
        <v>53661.644341296014</v>
      </c>
      <c r="H209" s="1233">
        <f t="shared" si="9"/>
        <v>53661.644341296014</v>
      </c>
      <c r="I209" s="743">
        <f t="shared" si="10"/>
        <v>0</v>
      </c>
      <c r="J209" s="743"/>
      <c r="K209" s="869"/>
      <c r="L209" s="749"/>
      <c r="M209" s="869"/>
      <c r="N209" s="749"/>
      <c r="O209" s="749"/>
    </row>
    <row r="210" spans="3:15">
      <c r="C210" s="739">
        <f>IF(D186="","-",+C209+1)</f>
        <v>2031</v>
      </c>
      <c r="D210" s="691">
        <f t="shared" si="7"/>
        <v>316121.44223684166</v>
      </c>
      <c r="E210" s="746">
        <f t="shared" si="11"/>
        <v>15420.558157894737</v>
      </c>
      <c r="F210" s="691">
        <f t="shared" si="6"/>
        <v>300700.8840789469</v>
      </c>
      <c r="G210" s="1230">
        <f t="shared" si="8"/>
        <v>51840.640237324522</v>
      </c>
      <c r="H210" s="1233">
        <f t="shared" si="9"/>
        <v>51840.640237324522</v>
      </c>
      <c r="I210" s="743">
        <f t="shared" si="10"/>
        <v>0</v>
      </c>
      <c r="J210" s="743"/>
      <c r="K210" s="869"/>
      <c r="L210" s="749"/>
      <c r="M210" s="869"/>
      <c r="N210" s="749"/>
      <c r="O210" s="749"/>
    </row>
    <row r="211" spans="3:15">
      <c r="C211" s="739">
        <f>IF(D186="","-",+C210+1)</f>
        <v>2032</v>
      </c>
      <c r="D211" s="691">
        <f t="shared" si="7"/>
        <v>300700.8840789469</v>
      </c>
      <c r="E211" s="746">
        <f t="shared" si="11"/>
        <v>15420.558157894737</v>
      </c>
      <c r="F211" s="691">
        <f t="shared" si="6"/>
        <v>285280.32592105214</v>
      </c>
      <c r="G211" s="1230">
        <f t="shared" si="8"/>
        <v>50019.636133353029</v>
      </c>
      <c r="H211" s="1233">
        <f t="shared" si="9"/>
        <v>50019.636133353029</v>
      </c>
      <c r="I211" s="743">
        <f t="shared" si="10"/>
        <v>0</v>
      </c>
      <c r="J211" s="743"/>
      <c r="K211" s="869"/>
      <c r="L211" s="749"/>
      <c r="M211" s="869"/>
      <c r="N211" s="749"/>
      <c r="O211" s="749"/>
    </row>
    <row r="212" spans="3:15">
      <c r="C212" s="739">
        <f>IF(D186="","-",+C211+1)</f>
        <v>2033</v>
      </c>
      <c r="D212" s="691">
        <f t="shared" si="7"/>
        <v>285280.32592105214</v>
      </c>
      <c r="E212" s="746">
        <f t="shared" si="11"/>
        <v>15420.558157894737</v>
      </c>
      <c r="F212" s="691">
        <f t="shared" si="6"/>
        <v>269859.76776315738</v>
      </c>
      <c r="G212" s="1230">
        <f t="shared" si="8"/>
        <v>48198.63202938153</v>
      </c>
      <c r="H212" s="1233">
        <f t="shared" si="9"/>
        <v>48198.63202938153</v>
      </c>
      <c r="I212" s="743">
        <f t="shared" si="10"/>
        <v>0</v>
      </c>
      <c r="J212" s="743"/>
      <c r="K212" s="869"/>
      <c r="L212" s="749"/>
      <c r="M212" s="869"/>
      <c r="N212" s="749"/>
      <c r="O212" s="749"/>
    </row>
    <row r="213" spans="3:15">
      <c r="C213" s="739">
        <f>IF(D186="","-",+C212+1)</f>
        <v>2034</v>
      </c>
      <c r="D213" s="691">
        <f t="shared" si="7"/>
        <v>269859.76776315738</v>
      </c>
      <c r="E213" s="746">
        <f t="shared" si="11"/>
        <v>15420.558157894737</v>
      </c>
      <c r="F213" s="691">
        <f t="shared" si="6"/>
        <v>254439.20960526264</v>
      </c>
      <c r="G213" s="1230">
        <f t="shared" si="8"/>
        <v>46377.627925410037</v>
      </c>
      <c r="H213" s="1233">
        <f t="shared" si="9"/>
        <v>46377.627925410037</v>
      </c>
      <c r="I213" s="743">
        <f t="shared" si="10"/>
        <v>0</v>
      </c>
      <c r="J213" s="743"/>
      <c r="K213" s="869"/>
      <c r="L213" s="749"/>
      <c r="M213" s="869"/>
      <c r="N213" s="749"/>
      <c r="O213" s="749"/>
    </row>
    <row r="214" spans="3:15">
      <c r="C214" s="739">
        <f>IF(D186="","-",+C213+1)</f>
        <v>2035</v>
      </c>
      <c r="D214" s="691">
        <f t="shared" si="7"/>
        <v>254439.20960526264</v>
      </c>
      <c r="E214" s="746">
        <f t="shared" si="11"/>
        <v>15420.558157894737</v>
      </c>
      <c r="F214" s="691">
        <f t="shared" si="6"/>
        <v>239018.65144736791</v>
      </c>
      <c r="G214" s="1230">
        <f t="shared" si="8"/>
        <v>44556.623821438545</v>
      </c>
      <c r="H214" s="1233">
        <f t="shared" si="9"/>
        <v>44556.623821438545</v>
      </c>
      <c r="I214" s="743">
        <f t="shared" si="10"/>
        <v>0</v>
      </c>
      <c r="J214" s="743"/>
      <c r="K214" s="869"/>
      <c r="L214" s="749"/>
      <c r="M214" s="869"/>
      <c r="N214" s="749"/>
      <c r="O214" s="749"/>
    </row>
    <row r="215" spans="3:15">
      <c r="C215" s="739">
        <f>IF(D186="","-",+C214+1)</f>
        <v>2036</v>
      </c>
      <c r="D215" s="691">
        <f t="shared" si="7"/>
        <v>239018.65144736791</v>
      </c>
      <c r="E215" s="746">
        <f t="shared" si="11"/>
        <v>15420.558157894737</v>
      </c>
      <c r="F215" s="691">
        <f t="shared" si="6"/>
        <v>223598.09328947318</v>
      </c>
      <c r="G215" s="1230">
        <f t="shared" si="8"/>
        <v>42735.619717467052</v>
      </c>
      <c r="H215" s="1233">
        <f t="shared" si="9"/>
        <v>42735.619717467052</v>
      </c>
      <c r="I215" s="743">
        <f t="shared" si="10"/>
        <v>0</v>
      </c>
      <c r="J215" s="743"/>
      <c r="K215" s="869"/>
      <c r="L215" s="749"/>
      <c r="M215" s="869"/>
      <c r="N215" s="749"/>
      <c r="O215" s="749"/>
    </row>
    <row r="216" spans="3:15">
      <c r="C216" s="739">
        <f>IF(D186="","-",+C215+1)</f>
        <v>2037</v>
      </c>
      <c r="D216" s="691">
        <f t="shared" si="7"/>
        <v>223598.09328947318</v>
      </c>
      <c r="E216" s="746">
        <f t="shared" si="11"/>
        <v>15420.558157894737</v>
      </c>
      <c r="F216" s="691">
        <f t="shared" si="6"/>
        <v>208177.53513157845</v>
      </c>
      <c r="G216" s="1230">
        <f t="shared" si="8"/>
        <v>40914.615613495567</v>
      </c>
      <c r="H216" s="1233">
        <f t="shared" si="9"/>
        <v>40914.615613495567</v>
      </c>
      <c r="I216" s="743">
        <f t="shared" si="10"/>
        <v>0</v>
      </c>
      <c r="J216" s="743"/>
      <c r="K216" s="869"/>
      <c r="L216" s="749"/>
      <c r="M216" s="869"/>
      <c r="N216" s="749"/>
      <c r="O216" s="749"/>
    </row>
    <row r="217" spans="3:15">
      <c r="C217" s="739">
        <f>IF(D186="","-",+C216+1)</f>
        <v>2038</v>
      </c>
      <c r="D217" s="691">
        <f t="shared" si="7"/>
        <v>208177.53513157845</v>
      </c>
      <c r="E217" s="746">
        <f t="shared" si="11"/>
        <v>15420.558157894737</v>
      </c>
      <c r="F217" s="691">
        <f t="shared" si="6"/>
        <v>192756.97697368372</v>
      </c>
      <c r="G217" s="1230">
        <f t="shared" si="8"/>
        <v>39093.611509524068</v>
      </c>
      <c r="H217" s="1233">
        <f t="shared" si="9"/>
        <v>39093.611509524068</v>
      </c>
      <c r="I217" s="743">
        <f t="shared" si="10"/>
        <v>0</v>
      </c>
      <c r="J217" s="743"/>
      <c r="K217" s="869"/>
      <c r="L217" s="749"/>
      <c r="M217" s="869"/>
      <c r="N217" s="749"/>
      <c r="O217" s="749"/>
    </row>
    <row r="218" spans="3:15">
      <c r="C218" s="739">
        <f>IF(D186="","-",+C217+1)</f>
        <v>2039</v>
      </c>
      <c r="D218" s="691">
        <f t="shared" si="7"/>
        <v>192756.97697368372</v>
      </c>
      <c r="E218" s="746">
        <f t="shared" si="11"/>
        <v>15420.558157894737</v>
      </c>
      <c r="F218" s="691">
        <f t="shared" si="6"/>
        <v>177336.41881578899</v>
      </c>
      <c r="G218" s="1230">
        <f t="shared" si="8"/>
        <v>37272.607405552582</v>
      </c>
      <c r="H218" s="1233">
        <f t="shared" si="9"/>
        <v>37272.607405552582</v>
      </c>
      <c r="I218" s="743">
        <f t="shared" si="10"/>
        <v>0</v>
      </c>
      <c r="J218" s="743"/>
      <c r="K218" s="869"/>
      <c r="L218" s="749"/>
      <c r="M218" s="869"/>
      <c r="N218" s="749"/>
      <c r="O218" s="749"/>
    </row>
    <row r="219" spans="3:15">
      <c r="C219" s="739">
        <f>IF(D186="","-",+C218+1)</f>
        <v>2040</v>
      </c>
      <c r="D219" s="691">
        <f t="shared" si="7"/>
        <v>177336.41881578899</v>
      </c>
      <c r="E219" s="746">
        <f t="shared" si="11"/>
        <v>15420.558157894737</v>
      </c>
      <c r="F219" s="691">
        <f t="shared" si="6"/>
        <v>161915.86065789426</v>
      </c>
      <c r="G219" s="1230">
        <f t="shared" si="8"/>
        <v>35451.60330158109</v>
      </c>
      <c r="H219" s="1233">
        <f t="shared" si="9"/>
        <v>35451.60330158109</v>
      </c>
      <c r="I219" s="743">
        <f t="shared" si="10"/>
        <v>0</v>
      </c>
      <c r="J219" s="743"/>
      <c r="K219" s="869"/>
      <c r="L219" s="749"/>
      <c r="M219" s="869"/>
      <c r="N219" s="749"/>
      <c r="O219" s="749"/>
    </row>
    <row r="220" spans="3:15">
      <c r="C220" s="739">
        <f>IF(D186="","-",+C219+1)</f>
        <v>2041</v>
      </c>
      <c r="D220" s="691">
        <f t="shared" si="7"/>
        <v>161915.86065789426</v>
      </c>
      <c r="E220" s="746">
        <f t="shared" si="11"/>
        <v>15420.558157894737</v>
      </c>
      <c r="F220" s="691">
        <f t="shared" si="6"/>
        <v>146495.30249999953</v>
      </c>
      <c r="G220" s="1240">
        <f t="shared" si="8"/>
        <v>33630.599197609597</v>
      </c>
      <c r="H220" s="1233">
        <f t="shared" si="9"/>
        <v>33630.599197609597</v>
      </c>
      <c r="I220" s="743">
        <f t="shared" si="10"/>
        <v>0</v>
      </c>
      <c r="J220" s="743"/>
      <c r="K220" s="869"/>
      <c r="L220" s="749"/>
      <c r="M220" s="869"/>
      <c r="N220" s="749"/>
      <c r="O220" s="749"/>
    </row>
    <row r="221" spans="3:15">
      <c r="C221" s="739">
        <f>IF(D186="","-",+C220+1)</f>
        <v>2042</v>
      </c>
      <c r="D221" s="691">
        <f t="shared" si="7"/>
        <v>146495.30249999953</v>
      </c>
      <c r="E221" s="746">
        <f t="shared" si="11"/>
        <v>15420.558157894737</v>
      </c>
      <c r="F221" s="691">
        <f t="shared" si="6"/>
        <v>131074.74434210479</v>
      </c>
      <c r="G221" s="1230">
        <f t="shared" si="8"/>
        <v>31809.595093638105</v>
      </c>
      <c r="H221" s="1233">
        <f t="shared" si="9"/>
        <v>31809.595093638105</v>
      </c>
      <c r="I221" s="743">
        <f t="shared" si="10"/>
        <v>0</v>
      </c>
      <c r="J221" s="743"/>
      <c r="K221" s="869"/>
      <c r="L221" s="749"/>
      <c r="M221" s="869"/>
      <c r="N221" s="749"/>
      <c r="O221" s="749"/>
    </row>
    <row r="222" spans="3:15">
      <c r="C222" s="739">
        <f>IF(D186="","-",+C221+1)</f>
        <v>2043</v>
      </c>
      <c r="D222" s="691">
        <f t="shared" si="7"/>
        <v>131074.74434210479</v>
      </c>
      <c r="E222" s="746">
        <f t="shared" si="11"/>
        <v>15420.558157894737</v>
      </c>
      <c r="F222" s="691">
        <f t="shared" si="6"/>
        <v>115654.18618421006</v>
      </c>
      <c r="G222" s="1230">
        <f t="shared" si="8"/>
        <v>29988.590989666616</v>
      </c>
      <c r="H222" s="1233">
        <f t="shared" si="9"/>
        <v>29988.590989666616</v>
      </c>
      <c r="I222" s="743">
        <f t="shared" si="10"/>
        <v>0</v>
      </c>
      <c r="J222" s="743"/>
      <c r="K222" s="869"/>
      <c r="L222" s="749"/>
      <c r="M222" s="869"/>
      <c r="N222" s="749"/>
      <c r="O222" s="749"/>
    </row>
    <row r="223" spans="3:15">
      <c r="C223" s="739">
        <f>IF(D186="","-",+C222+1)</f>
        <v>2044</v>
      </c>
      <c r="D223" s="691">
        <f t="shared" si="7"/>
        <v>115654.18618421006</v>
      </c>
      <c r="E223" s="746">
        <f t="shared" si="11"/>
        <v>15420.558157894737</v>
      </c>
      <c r="F223" s="691">
        <f t="shared" si="6"/>
        <v>100233.62802631533</v>
      </c>
      <c r="G223" s="1230">
        <f t="shared" si="8"/>
        <v>28167.586885695127</v>
      </c>
      <c r="H223" s="1233">
        <f t="shared" si="9"/>
        <v>28167.586885695127</v>
      </c>
      <c r="I223" s="743">
        <f t="shared" si="10"/>
        <v>0</v>
      </c>
      <c r="J223" s="743"/>
      <c r="K223" s="869"/>
      <c r="L223" s="749"/>
      <c r="M223" s="869"/>
      <c r="N223" s="749"/>
      <c r="O223" s="749"/>
    </row>
    <row r="224" spans="3:15">
      <c r="C224" s="739">
        <f>IF(D186="","-",+C223+1)</f>
        <v>2045</v>
      </c>
      <c r="D224" s="691">
        <f t="shared" si="7"/>
        <v>100233.62802631533</v>
      </c>
      <c r="E224" s="746">
        <f t="shared" si="11"/>
        <v>15420.558157894737</v>
      </c>
      <c r="F224" s="691">
        <f t="shared" si="6"/>
        <v>84813.0698684206</v>
      </c>
      <c r="G224" s="1230">
        <f t="shared" si="8"/>
        <v>26346.582781723635</v>
      </c>
      <c r="H224" s="1233">
        <f t="shared" si="9"/>
        <v>26346.582781723635</v>
      </c>
      <c r="I224" s="743">
        <f t="shared" si="10"/>
        <v>0</v>
      </c>
      <c r="J224" s="743"/>
      <c r="K224" s="869"/>
      <c r="L224" s="749"/>
      <c r="M224" s="869"/>
      <c r="N224" s="749"/>
      <c r="O224" s="749"/>
    </row>
    <row r="225" spans="3:15">
      <c r="C225" s="739">
        <f>IF(D186="","-",+C224+1)</f>
        <v>2046</v>
      </c>
      <c r="D225" s="691">
        <f t="shared" si="7"/>
        <v>84813.0698684206</v>
      </c>
      <c r="E225" s="746">
        <f t="shared" si="11"/>
        <v>15420.558157894737</v>
      </c>
      <c r="F225" s="691">
        <f t="shared" si="6"/>
        <v>69392.511710525869</v>
      </c>
      <c r="G225" s="1230">
        <f t="shared" si="8"/>
        <v>24525.578677752143</v>
      </c>
      <c r="H225" s="1233">
        <f t="shared" si="9"/>
        <v>24525.578677752143</v>
      </c>
      <c r="I225" s="743">
        <f t="shared" si="10"/>
        <v>0</v>
      </c>
      <c r="J225" s="743"/>
      <c r="K225" s="869"/>
      <c r="L225" s="749"/>
      <c r="M225" s="869"/>
      <c r="N225" s="749"/>
      <c r="O225" s="749"/>
    </row>
    <row r="226" spans="3:15">
      <c r="C226" s="739">
        <f>IF(D186="","-",+C225+1)</f>
        <v>2047</v>
      </c>
      <c r="D226" s="691">
        <f t="shared" si="7"/>
        <v>69392.511710525869</v>
      </c>
      <c r="E226" s="746">
        <f t="shared" si="11"/>
        <v>15420.558157894737</v>
      </c>
      <c r="F226" s="691">
        <f t="shared" si="6"/>
        <v>53971.95355263113</v>
      </c>
      <c r="G226" s="1230">
        <f t="shared" si="8"/>
        <v>22704.57457378065</v>
      </c>
      <c r="H226" s="1233">
        <f t="shared" si="9"/>
        <v>22704.57457378065</v>
      </c>
      <c r="I226" s="743">
        <f t="shared" si="10"/>
        <v>0</v>
      </c>
      <c r="J226" s="743"/>
      <c r="K226" s="869"/>
      <c r="L226" s="749"/>
      <c r="M226" s="869"/>
      <c r="N226" s="749"/>
      <c r="O226" s="749"/>
    </row>
    <row r="227" spans="3:15">
      <c r="C227" s="739">
        <f>IF(D186="","-",+C226+1)</f>
        <v>2048</v>
      </c>
      <c r="D227" s="691">
        <f t="shared" si="7"/>
        <v>53971.95355263113</v>
      </c>
      <c r="E227" s="746">
        <f t="shared" si="11"/>
        <v>15420.558157894737</v>
      </c>
      <c r="F227" s="691">
        <f t="shared" si="6"/>
        <v>38551.395394736392</v>
      </c>
      <c r="G227" s="1230">
        <f t="shared" si="8"/>
        <v>20883.570469809158</v>
      </c>
      <c r="H227" s="1233">
        <f t="shared" si="9"/>
        <v>20883.570469809158</v>
      </c>
      <c r="I227" s="743">
        <f t="shared" si="10"/>
        <v>0</v>
      </c>
      <c r="J227" s="743"/>
      <c r="K227" s="869"/>
      <c r="L227" s="749"/>
      <c r="M227" s="869"/>
      <c r="N227" s="749"/>
      <c r="O227" s="749"/>
    </row>
    <row r="228" spans="3:15">
      <c r="C228" s="739">
        <f>IF(D186="","-",+C227+1)</f>
        <v>2049</v>
      </c>
      <c r="D228" s="691">
        <f t="shared" si="7"/>
        <v>38551.395394736392</v>
      </c>
      <c r="E228" s="746">
        <f t="shared" si="11"/>
        <v>15420.558157894737</v>
      </c>
      <c r="F228" s="691">
        <f t="shared" si="6"/>
        <v>23130.837236841653</v>
      </c>
      <c r="G228" s="1230">
        <f t="shared" si="8"/>
        <v>19062.566365837665</v>
      </c>
      <c r="H228" s="1233">
        <f t="shared" si="9"/>
        <v>19062.566365837665</v>
      </c>
      <c r="I228" s="743">
        <f t="shared" si="10"/>
        <v>0</v>
      </c>
      <c r="J228" s="743"/>
      <c r="K228" s="869"/>
      <c r="L228" s="749"/>
      <c r="M228" s="869"/>
      <c r="N228" s="749"/>
      <c r="O228" s="749"/>
    </row>
    <row r="229" spans="3:15">
      <c r="C229" s="739">
        <f>IF(D186="","-",+C228+1)</f>
        <v>2050</v>
      </c>
      <c r="D229" s="691">
        <f t="shared" si="7"/>
        <v>23130.837236841653</v>
      </c>
      <c r="E229" s="746">
        <f t="shared" si="11"/>
        <v>15420.558157894737</v>
      </c>
      <c r="F229" s="691">
        <f t="shared" si="6"/>
        <v>7710.2790789469163</v>
      </c>
      <c r="G229" s="1230">
        <f t="shared" si="8"/>
        <v>17241.562261866176</v>
      </c>
      <c r="H229" s="1233">
        <f t="shared" si="9"/>
        <v>17241.562261866176</v>
      </c>
      <c r="I229" s="743">
        <f t="shared" si="10"/>
        <v>0</v>
      </c>
      <c r="J229" s="743"/>
      <c r="K229" s="869"/>
      <c r="L229" s="749"/>
      <c r="M229" s="869"/>
      <c r="N229" s="749"/>
      <c r="O229" s="749"/>
    </row>
    <row r="230" spans="3:15">
      <c r="C230" s="739">
        <f>IF(D186="","-",+C229+1)</f>
        <v>2051</v>
      </c>
      <c r="D230" s="691">
        <f t="shared" si="7"/>
        <v>7710.2790789469163</v>
      </c>
      <c r="E230" s="746">
        <f t="shared" si="11"/>
        <v>7710.2790789469163</v>
      </c>
      <c r="F230" s="691">
        <f t="shared" si="6"/>
        <v>0</v>
      </c>
      <c r="G230" s="1230">
        <f t="shared" si="8"/>
        <v>8165.5301049397622</v>
      </c>
      <c r="H230" s="1233">
        <f t="shared" si="9"/>
        <v>8165.5301049397622</v>
      </c>
      <c r="I230" s="743">
        <f t="shared" si="10"/>
        <v>0</v>
      </c>
      <c r="J230" s="743"/>
      <c r="K230" s="869"/>
      <c r="L230" s="749"/>
      <c r="M230" s="869"/>
      <c r="N230" s="749"/>
      <c r="O230" s="749"/>
    </row>
    <row r="231" spans="3:15">
      <c r="C231" s="739">
        <f>IF(D186="","-",+C230+1)</f>
        <v>2052</v>
      </c>
      <c r="D231" s="691">
        <f t="shared" si="7"/>
        <v>0</v>
      </c>
      <c r="E231" s="746">
        <f t="shared" si="11"/>
        <v>0</v>
      </c>
      <c r="F231" s="691">
        <f t="shared" si="6"/>
        <v>0</v>
      </c>
      <c r="G231" s="1230">
        <f t="shared" si="8"/>
        <v>0</v>
      </c>
      <c r="H231" s="1233">
        <f t="shared" si="9"/>
        <v>0</v>
      </c>
      <c r="I231" s="743">
        <f t="shared" si="10"/>
        <v>0</v>
      </c>
      <c r="J231" s="743"/>
      <c r="K231" s="869"/>
      <c r="L231" s="749"/>
      <c r="M231" s="869"/>
      <c r="N231" s="749"/>
      <c r="O231" s="749"/>
    </row>
    <row r="232" spans="3:15">
      <c r="C232" s="739">
        <f>IF(D186="","-",+C231+1)</f>
        <v>2053</v>
      </c>
      <c r="D232" s="691">
        <f t="shared" si="7"/>
        <v>0</v>
      </c>
      <c r="E232" s="746">
        <f t="shared" si="11"/>
        <v>0</v>
      </c>
      <c r="F232" s="691">
        <f t="shared" si="6"/>
        <v>0</v>
      </c>
      <c r="G232" s="1230">
        <f t="shared" si="8"/>
        <v>0</v>
      </c>
      <c r="H232" s="1233">
        <f t="shared" si="9"/>
        <v>0</v>
      </c>
      <c r="I232" s="743">
        <f t="shared" si="10"/>
        <v>0</v>
      </c>
      <c r="J232" s="743"/>
      <c r="K232" s="869"/>
      <c r="L232" s="749"/>
      <c r="M232" s="869"/>
      <c r="N232" s="749"/>
      <c r="O232" s="749"/>
    </row>
    <row r="233" spans="3:15">
      <c r="C233" s="739">
        <f>IF(D186="","-",+C232+1)</f>
        <v>2054</v>
      </c>
      <c r="D233" s="691">
        <f t="shared" si="7"/>
        <v>0</v>
      </c>
      <c r="E233" s="746">
        <f t="shared" si="11"/>
        <v>0</v>
      </c>
      <c r="F233" s="691">
        <f t="shared" si="6"/>
        <v>0</v>
      </c>
      <c r="G233" s="1230">
        <f t="shared" si="8"/>
        <v>0</v>
      </c>
      <c r="H233" s="1233">
        <f t="shared" si="9"/>
        <v>0</v>
      </c>
      <c r="I233" s="743">
        <f t="shared" si="10"/>
        <v>0</v>
      </c>
      <c r="J233" s="743"/>
      <c r="K233" s="869"/>
      <c r="L233" s="749"/>
      <c r="M233" s="869"/>
      <c r="N233" s="749"/>
      <c r="O233" s="749"/>
    </row>
    <row r="234" spans="3:15">
      <c r="C234" s="739">
        <f>IF(D186="","-",+C233+1)</f>
        <v>2055</v>
      </c>
      <c r="D234" s="691">
        <f t="shared" si="7"/>
        <v>0</v>
      </c>
      <c r="E234" s="746">
        <f t="shared" si="11"/>
        <v>0</v>
      </c>
      <c r="F234" s="691">
        <f t="shared" si="6"/>
        <v>0</v>
      </c>
      <c r="G234" s="1230">
        <f t="shared" si="8"/>
        <v>0</v>
      </c>
      <c r="H234" s="1233">
        <f t="shared" si="9"/>
        <v>0</v>
      </c>
      <c r="I234" s="743">
        <f t="shared" si="10"/>
        <v>0</v>
      </c>
      <c r="J234" s="743"/>
      <c r="K234" s="869"/>
      <c r="L234" s="749"/>
      <c r="M234" s="869"/>
      <c r="N234" s="749"/>
      <c r="O234" s="749"/>
    </row>
    <row r="235" spans="3:15">
      <c r="C235" s="739">
        <f>IF(D186="","-",+C234+1)</f>
        <v>2056</v>
      </c>
      <c r="D235" s="691">
        <f t="shared" si="7"/>
        <v>0</v>
      </c>
      <c r="E235" s="746">
        <f t="shared" si="11"/>
        <v>0</v>
      </c>
      <c r="F235" s="691">
        <f t="shared" si="6"/>
        <v>0</v>
      </c>
      <c r="G235" s="1230">
        <f t="shared" si="8"/>
        <v>0</v>
      </c>
      <c r="H235" s="1233">
        <f t="shared" si="9"/>
        <v>0</v>
      </c>
      <c r="I235" s="743">
        <f t="shared" si="10"/>
        <v>0</v>
      </c>
      <c r="J235" s="743"/>
      <c r="K235" s="869"/>
      <c r="L235" s="749"/>
      <c r="M235" s="869"/>
      <c r="N235" s="749"/>
      <c r="O235" s="749"/>
    </row>
    <row r="236" spans="3:15">
      <c r="C236" s="739">
        <f>IF(D186="","-",+C235+1)</f>
        <v>2057</v>
      </c>
      <c r="D236" s="691">
        <f t="shared" si="7"/>
        <v>0</v>
      </c>
      <c r="E236" s="746">
        <f t="shared" si="11"/>
        <v>0</v>
      </c>
      <c r="F236" s="691">
        <f t="shared" si="6"/>
        <v>0</v>
      </c>
      <c r="G236" s="1230">
        <f t="shared" si="8"/>
        <v>0</v>
      </c>
      <c r="H236" s="1233">
        <f t="shared" si="9"/>
        <v>0</v>
      </c>
      <c r="I236" s="743">
        <f t="shared" si="10"/>
        <v>0</v>
      </c>
      <c r="J236" s="743"/>
      <c r="K236" s="869"/>
      <c r="L236" s="749"/>
      <c r="M236" s="869"/>
      <c r="N236" s="749"/>
      <c r="O236" s="749"/>
    </row>
    <row r="237" spans="3:15">
      <c r="C237" s="739">
        <f>IF(D186="","-",+C236+1)</f>
        <v>2058</v>
      </c>
      <c r="D237" s="691">
        <f t="shared" si="7"/>
        <v>0</v>
      </c>
      <c r="E237" s="746">
        <f t="shared" si="11"/>
        <v>0</v>
      </c>
      <c r="F237" s="691">
        <f t="shared" si="6"/>
        <v>0</v>
      </c>
      <c r="G237" s="1230">
        <f t="shared" si="8"/>
        <v>0</v>
      </c>
      <c r="H237" s="1233">
        <f t="shared" si="9"/>
        <v>0</v>
      </c>
      <c r="I237" s="743">
        <f t="shared" si="10"/>
        <v>0</v>
      </c>
      <c r="J237" s="743"/>
      <c r="K237" s="869"/>
      <c r="L237" s="749"/>
      <c r="M237" s="869"/>
      <c r="N237" s="749"/>
      <c r="O237" s="749"/>
    </row>
    <row r="238" spans="3:15">
      <c r="C238" s="739">
        <f>IF(D186="","-",+C237+1)</f>
        <v>2059</v>
      </c>
      <c r="D238" s="691">
        <f t="shared" si="7"/>
        <v>0</v>
      </c>
      <c r="E238" s="746">
        <f t="shared" si="11"/>
        <v>0</v>
      </c>
      <c r="F238" s="691">
        <f t="shared" si="6"/>
        <v>0</v>
      </c>
      <c r="G238" s="1230">
        <f t="shared" si="8"/>
        <v>0</v>
      </c>
      <c r="H238" s="1233">
        <f t="shared" si="9"/>
        <v>0</v>
      </c>
      <c r="I238" s="743">
        <f t="shared" si="10"/>
        <v>0</v>
      </c>
      <c r="J238" s="743"/>
      <c r="K238" s="869"/>
      <c r="L238" s="749"/>
      <c r="M238" s="869"/>
      <c r="N238" s="749"/>
      <c r="O238" s="749"/>
    </row>
    <row r="239" spans="3:15">
      <c r="C239" s="739">
        <f>IF(D186="","-",+C238+1)</f>
        <v>2060</v>
      </c>
      <c r="D239" s="691">
        <f t="shared" si="7"/>
        <v>0</v>
      </c>
      <c r="E239" s="746">
        <f t="shared" si="11"/>
        <v>0</v>
      </c>
      <c r="F239" s="691">
        <f t="shared" si="6"/>
        <v>0</v>
      </c>
      <c r="G239" s="1230">
        <f t="shared" si="8"/>
        <v>0</v>
      </c>
      <c r="H239" s="1233">
        <f t="shared" si="9"/>
        <v>0</v>
      </c>
      <c r="I239" s="743">
        <f t="shared" si="10"/>
        <v>0</v>
      </c>
      <c r="J239" s="743"/>
      <c r="K239" s="869"/>
      <c r="L239" s="749"/>
      <c r="M239" s="869"/>
      <c r="N239" s="749"/>
      <c r="O239" s="749"/>
    </row>
    <row r="240" spans="3:15">
      <c r="C240" s="739">
        <f>IF(D186="","-",+C239+1)</f>
        <v>2061</v>
      </c>
      <c r="D240" s="691">
        <f t="shared" si="7"/>
        <v>0</v>
      </c>
      <c r="E240" s="746">
        <f t="shared" si="11"/>
        <v>0</v>
      </c>
      <c r="F240" s="691">
        <f t="shared" si="6"/>
        <v>0</v>
      </c>
      <c r="G240" s="1230">
        <f t="shared" si="8"/>
        <v>0</v>
      </c>
      <c r="H240" s="1233">
        <f t="shared" si="9"/>
        <v>0</v>
      </c>
      <c r="I240" s="743">
        <f t="shared" si="10"/>
        <v>0</v>
      </c>
      <c r="J240" s="743"/>
      <c r="K240" s="869"/>
      <c r="L240" s="749"/>
      <c r="M240" s="869"/>
      <c r="N240" s="749"/>
      <c r="O240" s="749"/>
    </row>
    <row r="241" spans="3:15">
      <c r="C241" s="739">
        <f>IF(D186="","-",+C240+1)</f>
        <v>2062</v>
      </c>
      <c r="D241" s="691">
        <f t="shared" si="7"/>
        <v>0</v>
      </c>
      <c r="E241" s="746">
        <f t="shared" si="11"/>
        <v>0</v>
      </c>
      <c r="F241" s="691">
        <f t="shared" si="6"/>
        <v>0</v>
      </c>
      <c r="G241" s="1230">
        <f t="shared" si="8"/>
        <v>0</v>
      </c>
      <c r="H241" s="1233">
        <f t="shared" si="9"/>
        <v>0</v>
      </c>
      <c r="I241" s="743">
        <f t="shared" si="10"/>
        <v>0</v>
      </c>
      <c r="J241" s="743"/>
      <c r="K241" s="869"/>
      <c r="L241" s="749"/>
      <c r="M241" s="869"/>
      <c r="N241" s="749"/>
      <c r="O241" s="749"/>
    </row>
    <row r="242" spans="3:15">
      <c r="C242" s="739">
        <f>IF(D186="","-",+C241+1)</f>
        <v>2063</v>
      </c>
      <c r="D242" s="691">
        <f t="shared" si="7"/>
        <v>0</v>
      </c>
      <c r="E242" s="746">
        <f t="shared" si="11"/>
        <v>0</v>
      </c>
      <c r="F242" s="691">
        <f t="shared" si="6"/>
        <v>0</v>
      </c>
      <c r="G242" s="1230">
        <f t="shared" si="8"/>
        <v>0</v>
      </c>
      <c r="H242" s="1233">
        <f t="shared" si="9"/>
        <v>0</v>
      </c>
      <c r="I242" s="743">
        <f t="shared" si="10"/>
        <v>0</v>
      </c>
      <c r="J242" s="743"/>
      <c r="K242" s="869"/>
      <c r="L242" s="749"/>
      <c r="M242" s="869"/>
      <c r="N242" s="749"/>
      <c r="O242" s="749"/>
    </row>
    <row r="243" spans="3:15">
      <c r="C243" s="739">
        <f>IF(D186="","-",+C242+1)</f>
        <v>2064</v>
      </c>
      <c r="D243" s="691">
        <f t="shared" si="7"/>
        <v>0</v>
      </c>
      <c r="E243" s="746">
        <f t="shared" si="11"/>
        <v>0</v>
      </c>
      <c r="F243" s="691">
        <f t="shared" si="6"/>
        <v>0</v>
      </c>
      <c r="G243" s="1230">
        <f t="shared" si="8"/>
        <v>0</v>
      </c>
      <c r="H243" s="1233">
        <f t="shared" si="9"/>
        <v>0</v>
      </c>
      <c r="I243" s="743">
        <f t="shared" si="10"/>
        <v>0</v>
      </c>
      <c r="J243" s="743"/>
      <c r="K243" s="869"/>
      <c r="L243" s="749"/>
      <c r="M243" s="869"/>
      <c r="N243" s="749"/>
      <c r="O243" s="749"/>
    </row>
    <row r="244" spans="3:15">
      <c r="C244" s="739">
        <f>IF(D186="","-",+C243+1)</f>
        <v>2065</v>
      </c>
      <c r="D244" s="691">
        <f t="shared" si="7"/>
        <v>0</v>
      </c>
      <c r="E244" s="746">
        <f t="shared" si="11"/>
        <v>0</v>
      </c>
      <c r="F244" s="691">
        <f t="shared" si="6"/>
        <v>0</v>
      </c>
      <c r="G244" s="1230">
        <f t="shared" si="8"/>
        <v>0</v>
      </c>
      <c r="H244" s="1233">
        <f t="shared" si="9"/>
        <v>0</v>
      </c>
      <c r="I244" s="743">
        <f t="shared" si="10"/>
        <v>0</v>
      </c>
      <c r="J244" s="743"/>
      <c r="K244" s="869"/>
      <c r="L244" s="749"/>
      <c r="M244" s="869"/>
      <c r="N244" s="749"/>
      <c r="O244" s="749"/>
    </row>
    <row r="245" spans="3:15">
      <c r="C245" s="739">
        <f>IF(D186="","-",+C244+1)</f>
        <v>2066</v>
      </c>
      <c r="D245" s="691">
        <f t="shared" si="7"/>
        <v>0</v>
      </c>
      <c r="E245" s="746">
        <f t="shared" si="11"/>
        <v>0</v>
      </c>
      <c r="F245" s="691">
        <f t="shared" si="6"/>
        <v>0</v>
      </c>
      <c r="G245" s="1230">
        <f t="shared" si="8"/>
        <v>0</v>
      </c>
      <c r="H245" s="1233">
        <f t="shared" si="9"/>
        <v>0</v>
      </c>
      <c r="I245" s="743">
        <f t="shared" si="10"/>
        <v>0</v>
      </c>
      <c r="J245" s="743"/>
      <c r="K245" s="869"/>
      <c r="L245" s="749"/>
      <c r="M245" s="869"/>
      <c r="N245" s="749"/>
      <c r="O245" s="749"/>
    </row>
    <row r="246" spans="3:15">
      <c r="C246" s="739">
        <f>IF(D186="","-",+C245+1)</f>
        <v>2067</v>
      </c>
      <c r="D246" s="691">
        <f t="shared" si="7"/>
        <v>0</v>
      </c>
      <c r="E246" s="746">
        <f t="shared" si="11"/>
        <v>0</v>
      </c>
      <c r="F246" s="691">
        <f t="shared" si="6"/>
        <v>0</v>
      </c>
      <c r="G246" s="1230">
        <f t="shared" si="8"/>
        <v>0</v>
      </c>
      <c r="H246" s="1233">
        <f t="shared" si="9"/>
        <v>0</v>
      </c>
      <c r="I246" s="743">
        <f t="shared" si="10"/>
        <v>0</v>
      </c>
      <c r="J246" s="743"/>
      <c r="K246" s="869"/>
      <c r="L246" s="749"/>
      <c r="M246" s="869"/>
      <c r="N246" s="749"/>
      <c r="O246" s="749"/>
    </row>
    <row r="247" spans="3:15">
      <c r="C247" s="739">
        <f>IF(D186="","-",+C246+1)</f>
        <v>2068</v>
      </c>
      <c r="D247" s="691">
        <f t="shared" si="7"/>
        <v>0</v>
      </c>
      <c r="E247" s="746">
        <f t="shared" si="11"/>
        <v>0</v>
      </c>
      <c r="F247" s="691">
        <f t="shared" si="6"/>
        <v>0</v>
      </c>
      <c r="G247" s="1230">
        <f t="shared" si="8"/>
        <v>0</v>
      </c>
      <c r="H247" s="1233">
        <f t="shared" si="9"/>
        <v>0</v>
      </c>
      <c r="I247" s="743">
        <f t="shared" si="10"/>
        <v>0</v>
      </c>
      <c r="J247" s="743"/>
      <c r="K247" s="869"/>
      <c r="L247" s="749"/>
      <c r="M247" s="869"/>
      <c r="N247" s="749"/>
      <c r="O247" s="749"/>
    </row>
    <row r="248" spans="3:15">
      <c r="C248" s="739">
        <f>IF(D186="","-",+C247+1)</f>
        <v>2069</v>
      </c>
      <c r="D248" s="691">
        <f t="shared" si="7"/>
        <v>0</v>
      </c>
      <c r="E248" s="746">
        <f t="shared" si="11"/>
        <v>0</v>
      </c>
      <c r="F248" s="691">
        <f t="shared" si="6"/>
        <v>0</v>
      </c>
      <c r="G248" s="1230">
        <f t="shared" si="8"/>
        <v>0</v>
      </c>
      <c r="H248" s="1233">
        <f t="shared" si="9"/>
        <v>0</v>
      </c>
      <c r="I248" s="743">
        <f t="shared" si="10"/>
        <v>0</v>
      </c>
      <c r="J248" s="743"/>
      <c r="K248" s="869"/>
      <c r="L248" s="749"/>
      <c r="M248" s="869"/>
      <c r="N248" s="749"/>
      <c r="O248" s="749"/>
    </row>
    <row r="249" spans="3:15">
      <c r="C249" s="739">
        <f>IF(D186="","-",+C248+1)</f>
        <v>2070</v>
      </c>
      <c r="D249" s="691">
        <f t="shared" si="7"/>
        <v>0</v>
      </c>
      <c r="E249" s="746">
        <f t="shared" si="11"/>
        <v>0</v>
      </c>
      <c r="F249" s="691">
        <f t="shared" si="6"/>
        <v>0</v>
      </c>
      <c r="G249" s="1230">
        <f t="shared" si="8"/>
        <v>0</v>
      </c>
      <c r="H249" s="1233">
        <f t="shared" si="9"/>
        <v>0</v>
      </c>
      <c r="I249" s="743">
        <f t="shared" si="10"/>
        <v>0</v>
      </c>
      <c r="J249" s="743"/>
      <c r="K249" s="869"/>
      <c r="L249" s="749"/>
      <c r="M249" s="869"/>
      <c r="N249" s="749"/>
      <c r="O249" s="749"/>
    </row>
    <row r="250" spans="3:15">
      <c r="C250" s="739">
        <f>IF(D186="","-",+C249+1)</f>
        <v>2071</v>
      </c>
      <c r="D250" s="691">
        <f t="shared" si="7"/>
        <v>0</v>
      </c>
      <c r="E250" s="746">
        <f t="shared" si="11"/>
        <v>0</v>
      </c>
      <c r="F250" s="691">
        <f t="shared" si="6"/>
        <v>0</v>
      </c>
      <c r="G250" s="1230">
        <f t="shared" si="8"/>
        <v>0</v>
      </c>
      <c r="H250" s="1233">
        <f t="shared" si="9"/>
        <v>0</v>
      </c>
      <c r="I250" s="743">
        <f t="shared" si="10"/>
        <v>0</v>
      </c>
      <c r="J250" s="743"/>
      <c r="K250" s="869"/>
      <c r="L250" s="749"/>
      <c r="M250" s="869"/>
      <c r="N250" s="749"/>
      <c r="O250" s="749"/>
    </row>
    <row r="251" spans="3:15" ht="13.5" thickBot="1">
      <c r="C251" s="750">
        <f>IF(D186="","-",+C250+1)</f>
        <v>2072</v>
      </c>
      <c r="D251" s="751">
        <f t="shared" si="7"/>
        <v>0</v>
      </c>
      <c r="E251" s="752">
        <f t="shared" si="11"/>
        <v>0</v>
      </c>
      <c r="F251" s="751">
        <f t="shared" si="6"/>
        <v>0</v>
      </c>
      <c r="G251" s="1241">
        <f t="shared" si="8"/>
        <v>0</v>
      </c>
      <c r="H251" s="1241">
        <f t="shared" si="9"/>
        <v>0</v>
      </c>
      <c r="I251" s="754">
        <f t="shared" si="10"/>
        <v>0</v>
      </c>
      <c r="J251" s="743"/>
      <c r="K251" s="870"/>
      <c r="L251" s="756"/>
      <c r="M251" s="870"/>
      <c r="N251" s="756"/>
      <c r="O251" s="756"/>
    </row>
    <row r="252" spans="3:15">
      <c r="C252" s="691" t="s">
        <v>289</v>
      </c>
      <c r="D252" s="1211"/>
      <c r="E252" s="1211">
        <f>SUM(E192:E251)</f>
        <v>585981.21</v>
      </c>
      <c r="F252" s="1211"/>
      <c r="G252" s="1211">
        <f>SUM(G192:G251)</f>
        <v>1935345.2510428734</v>
      </c>
      <c r="H252" s="1211">
        <f>SUM(H192:H251)</f>
        <v>1935345.2510428734</v>
      </c>
      <c r="I252" s="1211">
        <f>SUM(I192:I251)</f>
        <v>0</v>
      </c>
      <c r="J252" s="1211"/>
      <c r="K252" s="1211"/>
      <c r="L252" s="1211"/>
      <c r="M252" s="1211"/>
      <c r="N252" s="1211"/>
      <c r="O252" s="558"/>
    </row>
    <row r="253" spans="3:15">
      <c r="D253" s="581"/>
      <c r="E253" s="558"/>
      <c r="F253" s="558"/>
      <c r="G253" s="558"/>
      <c r="H253" s="1210"/>
      <c r="I253" s="1210"/>
      <c r="J253" s="1211"/>
      <c r="K253" s="1210"/>
      <c r="L253" s="1210"/>
      <c r="M253" s="1210"/>
      <c r="N253" s="1210"/>
      <c r="O253" s="558"/>
    </row>
    <row r="254" spans="3:15">
      <c r="C254" s="1242" t="s">
        <v>926</v>
      </c>
      <c r="D254" s="581"/>
      <c r="E254" s="558"/>
      <c r="F254" s="558"/>
      <c r="G254" s="558"/>
      <c r="H254" s="1210"/>
      <c r="I254" s="1210"/>
      <c r="J254" s="1211"/>
      <c r="K254" s="1210"/>
      <c r="L254" s="1210"/>
      <c r="M254" s="1210"/>
      <c r="N254" s="1210"/>
      <c r="O254" s="558"/>
    </row>
    <row r="255" spans="3:15">
      <c r="D255" s="581"/>
      <c r="E255" s="558"/>
      <c r="F255" s="558"/>
      <c r="G255" s="558"/>
      <c r="H255" s="1210"/>
      <c r="I255" s="1210"/>
      <c r="J255" s="1211"/>
      <c r="K255" s="1210"/>
      <c r="L255" s="1210"/>
      <c r="M255" s="1210"/>
      <c r="N255" s="1210"/>
      <c r="O255" s="558"/>
    </row>
    <row r="256" spans="3:15">
      <c r="C256" s="704" t="s">
        <v>927</v>
      </c>
      <c r="D256" s="691"/>
      <c r="E256" s="691"/>
      <c r="F256" s="691"/>
      <c r="G256" s="1211"/>
      <c r="H256" s="1211"/>
      <c r="I256" s="692"/>
      <c r="J256" s="692"/>
      <c r="K256" s="692"/>
      <c r="L256" s="692"/>
      <c r="M256" s="692"/>
      <c r="N256" s="692"/>
      <c r="O256" s="558"/>
    </row>
    <row r="257" spans="1:16">
      <c r="C257" s="690" t="s">
        <v>477</v>
      </c>
      <c r="D257" s="691"/>
      <c r="E257" s="691"/>
      <c r="F257" s="691"/>
      <c r="G257" s="1211"/>
      <c r="H257" s="1211"/>
      <c r="I257" s="692"/>
      <c r="J257" s="692"/>
      <c r="K257" s="692"/>
      <c r="L257" s="692"/>
      <c r="M257" s="692"/>
      <c r="N257" s="692"/>
      <c r="O257" s="558"/>
    </row>
    <row r="258" spans="1:16">
      <c r="C258" s="690" t="s">
        <v>290</v>
      </c>
      <c r="D258" s="691"/>
      <c r="E258" s="691"/>
      <c r="F258" s="691"/>
      <c r="G258" s="1211"/>
      <c r="H258" s="1211"/>
      <c r="I258" s="692"/>
      <c r="J258" s="692"/>
      <c r="K258" s="692"/>
      <c r="L258" s="692"/>
      <c r="M258" s="692"/>
      <c r="N258" s="692"/>
      <c r="O258" s="558"/>
    </row>
    <row r="259" spans="1:16">
      <c r="C259" s="690"/>
      <c r="D259" s="691"/>
      <c r="E259" s="691"/>
      <c r="F259" s="691"/>
      <c r="G259" s="1211"/>
      <c r="H259" s="1211"/>
      <c r="I259" s="692"/>
      <c r="J259" s="692"/>
      <c r="K259" s="692"/>
      <c r="L259" s="692"/>
      <c r="M259" s="692"/>
      <c r="N259" s="692"/>
      <c r="O259" s="558"/>
    </row>
    <row r="260" spans="1:16">
      <c r="C260" s="1601" t="s">
        <v>461</v>
      </c>
      <c r="D260" s="1601"/>
      <c r="E260" s="1601"/>
      <c r="F260" s="1601"/>
      <c r="G260" s="1601"/>
      <c r="H260" s="1601"/>
      <c r="I260" s="1601"/>
      <c r="J260" s="1601"/>
      <c r="K260" s="1601"/>
      <c r="L260" s="1601"/>
      <c r="M260" s="1601"/>
      <c r="N260" s="1601"/>
      <c r="O260" s="1601"/>
    </row>
    <row r="261" spans="1:16">
      <c r="C261" s="1601"/>
      <c r="D261" s="1601"/>
      <c r="E261" s="1601"/>
      <c r="F261" s="1601"/>
      <c r="G261" s="1601"/>
      <c r="H261" s="1601"/>
      <c r="I261" s="1601"/>
      <c r="J261" s="1601"/>
      <c r="K261" s="1601"/>
      <c r="L261" s="1601"/>
      <c r="M261" s="1601"/>
      <c r="N261" s="1601"/>
      <c r="O261" s="1601"/>
    </row>
    <row r="262" spans="1:16" ht="20.25">
      <c r="A262" s="693" t="s">
        <v>923</v>
      </c>
      <c r="B262" s="594"/>
      <c r="C262" s="673"/>
      <c r="D262" s="581"/>
      <c r="E262" s="558"/>
      <c r="F262" s="663"/>
      <c r="G262" s="558"/>
      <c r="H262" s="1210"/>
      <c r="K262" s="694"/>
      <c r="L262" s="694"/>
      <c r="M262" s="694"/>
      <c r="N262" s="609" t="str">
        <f>"Page "&amp;P262&amp;" of "</f>
        <v xml:space="preserve">Page 4 of </v>
      </c>
      <c r="O262" s="610">
        <f>COUNT(P$6:P$59527)</f>
        <v>10</v>
      </c>
      <c r="P262" s="558">
        <v>4</v>
      </c>
    </row>
    <row r="263" spans="1:16">
      <c r="B263" s="594"/>
      <c r="C263" s="558"/>
      <c r="D263" s="581"/>
      <c r="E263" s="558"/>
      <c r="F263" s="558"/>
      <c r="G263" s="558"/>
      <c r="H263" s="1210"/>
      <c r="I263" s="558"/>
      <c r="J263" s="606"/>
      <c r="K263" s="558"/>
      <c r="L263" s="558"/>
      <c r="M263" s="558"/>
      <c r="N263" s="558"/>
      <c r="O263" s="558"/>
    </row>
    <row r="264" spans="1:16" ht="18">
      <c r="B264" s="613" t="s">
        <v>175</v>
      </c>
      <c r="C264" s="695" t="s">
        <v>291</v>
      </c>
      <c r="D264" s="581"/>
      <c r="E264" s="558"/>
      <c r="F264" s="558"/>
      <c r="G264" s="558"/>
      <c r="H264" s="1210"/>
      <c r="I264" s="1210"/>
      <c r="J264" s="1211"/>
      <c r="K264" s="1210"/>
      <c r="L264" s="1210"/>
      <c r="M264" s="1210"/>
      <c r="N264" s="1210"/>
      <c r="O264" s="558"/>
    </row>
    <row r="265" spans="1:16" ht="18.75">
      <c r="B265" s="613"/>
      <c r="C265" s="612"/>
      <c r="D265" s="581"/>
      <c r="E265" s="558"/>
      <c r="F265" s="558"/>
      <c r="G265" s="558"/>
      <c r="H265" s="1210"/>
      <c r="I265" s="1210"/>
      <c r="J265" s="1211"/>
      <c r="K265" s="1210"/>
      <c r="L265" s="1210"/>
      <c r="M265" s="1210"/>
      <c r="N265" s="1210"/>
      <c r="O265" s="558"/>
    </row>
    <row r="266" spans="1:16" ht="18.75">
      <c r="B266" s="613"/>
      <c r="C266" s="612" t="s">
        <v>292</v>
      </c>
      <c r="D266" s="581"/>
      <c r="E266" s="558"/>
      <c r="F266" s="558"/>
      <c r="G266" s="558"/>
      <c r="H266" s="1210"/>
      <c r="I266" s="1210"/>
      <c r="J266" s="1211"/>
      <c r="K266" s="1210"/>
      <c r="L266" s="1210"/>
      <c r="M266" s="1210"/>
      <c r="N266" s="1210"/>
      <c r="O266" s="558"/>
    </row>
    <row r="267" spans="1:16" ht="15.75" thickBot="1">
      <c r="C267" s="411"/>
      <c r="D267" s="581"/>
      <c r="E267" s="558"/>
      <c r="F267" s="558"/>
      <c r="G267" s="558"/>
      <c r="H267" s="1210"/>
      <c r="I267" s="1210"/>
      <c r="J267" s="1211"/>
      <c r="K267" s="1210"/>
      <c r="L267" s="1210"/>
      <c r="M267" s="1210"/>
      <c r="N267" s="1210"/>
      <c r="O267" s="558"/>
    </row>
    <row r="268" spans="1:16" ht="15.75">
      <c r="C268" s="614" t="s">
        <v>293</v>
      </c>
      <c r="D268" s="581"/>
      <c r="E268" s="558"/>
      <c r="F268" s="558"/>
      <c r="G268" s="1212"/>
      <c r="H268" s="558" t="s">
        <v>272</v>
      </c>
      <c r="I268" s="558"/>
      <c r="J268" s="606"/>
      <c r="K268" s="696" t="s">
        <v>297</v>
      </c>
      <c r="L268" s="697"/>
      <c r="M268" s="698"/>
      <c r="N268" s="1213">
        <f>VLOOKUP(I274,C281:O340,5)</f>
        <v>2340535.8588200537</v>
      </c>
      <c r="O268" s="558"/>
    </row>
    <row r="269" spans="1:16" ht="15.75">
      <c r="C269" s="614"/>
      <c r="D269" s="581"/>
      <c r="E269" s="558"/>
      <c r="F269" s="558"/>
      <c r="G269" s="558"/>
      <c r="H269" s="1214"/>
      <c r="I269" s="1214"/>
      <c r="J269" s="1215"/>
      <c r="K269" s="701" t="s">
        <v>298</v>
      </c>
      <c r="L269" s="1216"/>
      <c r="M269" s="606"/>
      <c r="N269" s="1217">
        <f>VLOOKUP(I274,C281:O340,6)</f>
        <v>2340535.8588200537</v>
      </c>
      <c r="O269" s="558"/>
    </row>
    <row r="270" spans="1:16" ht="13.5" thickBot="1">
      <c r="C270" s="702" t="s">
        <v>294</v>
      </c>
      <c r="D270" s="1610" t="s">
        <v>929</v>
      </c>
      <c r="E270" s="1610"/>
      <c r="F270" s="1610"/>
      <c r="G270" s="1610"/>
      <c r="H270" s="1610"/>
      <c r="I270" s="1610"/>
      <c r="J270" s="1211"/>
      <c r="K270" s="1218" t="s">
        <v>451</v>
      </c>
      <c r="L270" s="1219"/>
      <c r="M270" s="1219"/>
      <c r="N270" s="1220">
        <f>+N269-N268</f>
        <v>0</v>
      </c>
      <c r="O270" s="558"/>
    </row>
    <row r="271" spans="1:16">
      <c r="C271" s="704"/>
      <c r="D271" s="1610"/>
      <c r="E271" s="1610"/>
      <c r="F271" s="1610"/>
      <c r="G271" s="1610"/>
      <c r="H271" s="1610"/>
      <c r="I271" s="1610"/>
      <c r="J271" s="1211"/>
      <c r="K271" s="1210"/>
      <c r="L271" s="1210"/>
      <c r="M271" s="1210"/>
      <c r="N271" s="1210"/>
      <c r="O271" s="558"/>
    </row>
    <row r="272" spans="1:16" ht="13.5" thickBot="1">
      <c r="C272" s="707"/>
      <c r="D272" s="708"/>
      <c r="E272" s="706"/>
      <c r="F272" s="706"/>
      <c r="G272" s="706"/>
      <c r="H272" s="706"/>
      <c r="I272" s="706"/>
      <c r="J272" s="709"/>
      <c r="K272" s="706"/>
      <c r="L272" s="706"/>
      <c r="M272" s="706"/>
      <c r="N272" s="706"/>
      <c r="O272" s="594"/>
    </row>
    <row r="273" spans="1:15" ht="13.5" thickBot="1">
      <c r="C273" s="710" t="s">
        <v>295</v>
      </c>
      <c r="D273" s="711"/>
      <c r="E273" s="711"/>
      <c r="F273" s="711"/>
      <c r="G273" s="711"/>
      <c r="H273" s="711"/>
      <c r="I273" s="712"/>
      <c r="J273" s="713"/>
      <c r="K273" s="558"/>
      <c r="L273" s="558"/>
      <c r="M273" s="558"/>
      <c r="N273" s="558"/>
      <c r="O273" s="714"/>
    </row>
    <row r="274" spans="1:15" ht="15">
      <c r="C274" s="716" t="s">
        <v>273</v>
      </c>
      <c r="D274" s="1221">
        <v>21957101.479999997</v>
      </c>
      <c r="E274" s="673" t="s">
        <v>274</v>
      </c>
      <c r="G274" s="717"/>
      <c r="H274" s="717"/>
      <c r="I274" s="718">
        <f>I185</f>
        <v>2025</v>
      </c>
      <c r="J274" s="604"/>
      <c r="K274" s="1600" t="s">
        <v>460</v>
      </c>
      <c r="L274" s="1600"/>
      <c r="M274" s="1600"/>
      <c r="N274" s="1600"/>
      <c r="O274" s="1600"/>
    </row>
    <row r="275" spans="1:15">
      <c r="C275" s="716" t="s">
        <v>276</v>
      </c>
      <c r="D275" s="864">
        <v>2013</v>
      </c>
      <c r="E275" s="716" t="s">
        <v>277</v>
      </c>
      <c r="F275" s="717"/>
      <c r="H275" s="345"/>
      <c r="I275" s="867">
        <f>IF(G268="",0,$F$15)</f>
        <v>0</v>
      </c>
      <c r="J275" s="719"/>
      <c r="K275" s="1211" t="s">
        <v>460</v>
      </c>
    </row>
    <row r="276" spans="1:15">
      <c r="C276" s="716" t="s">
        <v>278</v>
      </c>
      <c r="D276" s="1221">
        <v>4</v>
      </c>
      <c r="E276" s="716" t="s">
        <v>279</v>
      </c>
      <c r="F276" s="717"/>
      <c r="H276" s="345"/>
      <c r="I276" s="720">
        <f>$G$70</f>
        <v>0.11808937687765908</v>
      </c>
      <c r="J276" s="721"/>
      <c r="K276" s="345" t="str">
        <f>"          INPUT PROJECTED ARR (WITH &amp; WITHOUT INCENTIVES) FROM EACH PRIOR YEAR"</f>
        <v xml:space="preserve">          INPUT PROJECTED ARR (WITH &amp; WITHOUT INCENTIVES) FROM EACH PRIOR YEAR</v>
      </c>
    </row>
    <row r="277" spans="1:15">
      <c r="C277" s="716" t="s">
        <v>280</v>
      </c>
      <c r="D277" s="722">
        <f>G$79</f>
        <v>38</v>
      </c>
      <c r="E277" s="716" t="s">
        <v>281</v>
      </c>
      <c r="F277" s="717"/>
      <c r="H277" s="345"/>
      <c r="I277" s="720">
        <f>IF(G268="",I276,$G$67)</f>
        <v>0.11808937687765908</v>
      </c>
      <c r="J277" s="723"/>
      <c r="K277" s="345" t="s">
        <v>358</v>
      </c>
    </row>
    <row r="278" spans="1:15" ht="13.5" thickBot="1">
      <c r="C278" s="716" t="s">
        <v>282</v>
      </c>
      <c r="D278" s="866" t="s">
        <v>925</v>
      </c>
      <c r="E278" s="724" t="s">
        <v>283</v>
      </c>
      <c r="F278" s="725"/>
      <c r="G278" s="726"/>
      <c r="H278" s="726"/>
      <c r="I278" s="1220">
        <f>IF(D274=0,0,D274/D277)</f>
        <v>577818.46</v>
      </c>
      <c r="J278" s="1211"/>
      <c r="K278" s="1211" t="s">
        <v>364</v>
      </c>
      <c r="L278" s="1211"/>
      <c r="M278" s="1211"/>
      <c r="N278" s="1211"/>
      <c r="O278" s="606"/>
    </row>
    <row r="279" spans="1:15" ht="51">
      <c r="A279" s="545"/>
      <c r="B279" s="1222"/>
      <c r="C279" s="727" t="s">
        <v>273</v>
      </c>
      <c r="D279" s="1223" t="s">
        <v>284</v>
      </c>
      <c r="E279" s="1224" t="s">
        <v>285</v>
      </c>
      <c r="F279" s="1223" t="s">
        <v>286</v>
      </c>
      <c r="G279" s="1224" t="s">
        <v>357</v>
      </c>
      <c r="H279" s="1225" t="s">
        <v>357</v>
      </c>
      <c r="I279" s="727" t="s">
        <v>296</v>
      </c>
      <c r="J279" s="731"/>
      <c r="K279" s="1224" t="s">
        <v>366</v>
      </c>
      <c r="L279" s="1226"/>
      <c r="M279" s="1224" t="s">
        <v>366</v>
      </c>
      <c r="N279" s="1226"/>
      <c r="O279" s="1226"/>
    </row>
    <row r="280" spans="1:15" ht="13.5" thickBot="1">
      <c r="C280" s="733" t="s">
        <v>178</v>
      </c>
      <c r="D280" s="734" t="s">
        <v>179</v>
      </c>
      <c r="E280" s="733" t="s">
        <v>38</v>
      </c>
      <c r="F280" s="734" t="s">
        <v>179</v>
      </c>
      <c r="G280" s="1227" t="s">
        <v>299</v>
      </c>
      <c r="H280" s="1228" t="s">
        <v>301</v>
      </c>
      <c r="I280" s="737" t="s">
        <v>390</v>
      </c>
      <c r="J280" s="738"/>
      <c r="K280" s="1227" t="s">
        <v>288</v>
      </c>
      <c r="L280" s="1229"/>
      <c r="M280" s="1227" t="s">
        <v>301</v>
      </c>
      <c r="N280" s="1229"/>
      <c r="O280" s="1229"/>
    </row>
    <row r="281" spans="1:15">
      <c r="C281" s="739">
        <f>IF(D275= "","-",D275)</f>
        <v>2013</v>
      </c>
      <c r="D281" s="691">
        <f>+D274</f>
        <v>21957101.479999997</v>
      </c>
      <c r="E281" s="1230">
        <f>+I278/12*(12-D276)</f>
        <v>385212.30666666664</v>
      </c>
      <c r="F281" s="691">
        <f t="shared" ref="F281:F340" si="12">+D281-E281</f>
        <v>21571889.173333332</v>
      </c>
      <c r="G281" s="1231">
        <f>+$I$276*((D281+F281)/2)+E281</f>
        <v>2955367.997849456</v>
      </c>
      <c r="H281" s="1232">
        <f>+$I$277*((D281+F281)/2)+E281</f>
        <v>2955367.997849456</v>
      </c>
      <c r="I281" s="743">
        <f>+H281-G281</f>
        <v>0</v>
      </c>
      <c r="J281" s="743"/>
      <c r="K281" s="869">
        <v>1301059</v>
      </c>
      <c r="L281" s="745"/>
      <c r="M281" s="869">
        <v>1301059</v>
      </c>
      <c r="N281" s="745"/>
      <c r="O281" s="745"/>
    </row>
    <row r="282" spans="1:15">
      <c r="C282" s="739">
        <f>IF(D275="","-",+C281+1)</f>
        <v>2014</v>
      </c>
      <c r="D282" s="691">
        <f t="shared" ref="D282:D340" si="13">F281</f>
        <v>21571889.173333332</v>
      </c>
      <c r="E282" s="746">
        <f>IF(D282&gt;$I$278,$I$278,D282)</f>
        <v>577818.46</v>
      </c>
      <c r="F282" s="691">
        <f t="shared" si="12"/>
        <v>20994070.713333331</v>
      </c>
      <c r="G282" s="1230">
        <f t="shared" ref="G282:G340" si="14">+$I$276*((D282+F282)/2)+E282</f>
        <v>3091112.2996079489</v>
      </c>
      <c r="H282" s="1233">
        <f t="shared" ref="H282:H340" si="15">+$I$277*((D282+F282)/2)+E282</f>
        <v>3091112.2996079489</v>
      </c>
      <c r="I282" s="743">
        <f t="shared" ref="I282:I340" si="16">+H282-G282</f>
        <v>0</v>
      </c>
      <c r="J282" s="743"/>
      <c r="K282" s="869">
        <v>3243481</v>
      </c>
      <c r="L282" s="749"/>
      <c r="M282" s="869">
        <v>3243481</v>
      </c>
      <c r="N282" s="749"/>
      <c r="O282" s="749"/>
    </row>
    <row r="283" spans="1:15">
      <c r="C283" s="739">
        <f>IF(D275="","-",+C282+1)</f>
        <v>2015</v>
      </c>
      <c r="D283" s="691">
        <f t="shared" si="13"/>
        <v>20994070.713333331</v>
      </c>
      <c r="E283" s="746">
        <f t="shared" ref="E283:E340" si="17">IF(D283&gt;$I$278,$I$278,D283)</f>
        <v>577818.46</v>
      </c>
      <c r="F283" s="691">
        <f t="shared" si="12"/>
        <v>20416252.25333333</v>
      </c>
      <c r="G283" s="1230">
        <f t="shared" si="14"/>
        <v>3022878.0777181406</v>
      </c>
      <c r="H283" s="1233">
        <f t="shared" si="15"/>
        <v>3022878.0777181406</v>
      </c>
      <c r="I283" s="743">
        <f t="shared" si="16"/>
        <v>0</v>
      </c>
      <c r="J283" s="743"/>
      <c r="K283" s="869">
        <v>3604460</v>
      </c>
      <c r="L283" s="749"/>
      <c r="M283" s="869">
        <v>3604460</v>
      </c>
      <c r="N283" s="749"/>
      <c r="O283" s="749"/>
    </row>
    <row r="284" spans="1:15">
      <c r="C284" s="739">
        <f>IF(D275="","-",+C283+1)</f>
        <v>2016</v>
      </c>
      <c r="D284" s="691">
        <f t="shared" si="13"/>
        <v>20416252.25333333</v>
      </c>
      <c r="E284" s="746">
        <f t="shared" si="17"/>
        <v>577818.46</v>
      </c>
      <c r="F284" s="691">
        <f t="shared" si="12"/>
        <v>19838433.793333329</v>
      </c>
      <c r="G284" s="1230">
        <f t="shared" si="14"/>
        <v>2954643.8558283318</v>
      </c>
      <c r="H284" s="1233">
        <f t="shared" si="15"/>
        <v>2954643.8558283318</v>
      </c>
      <c r="I284" s="743">
        <f t="shared" si="16"/>
        <v>0</v>
      </c>
      <c r="J284" s="743"/>
      <c r="K284" s="869">
        <v>3506792</v>
      </c>
      <c r="L284" s="749"/>
      <c r="M284" s="869">
        <v>3506792</v>
      </c>
      <c r="N284" s="749"/>
      <c r="O284" s="749"/>
    </row>
    <row r="285" spans="1:15">
      <c r="C285" s="739">
        <f>IF(D275="","-",+C284+1)</f>
        <v>2017</v>
      </c>
      <c r="D285" s="691">
        <f t="shared" si="13"/>
        <v>19838433.793333329</v>
      </c>
      <c r="E285" s="746">
        <f t="shared" si="17"/>
        <v>577818.46</v>
      </c>
      <c r="F285" s="691">
        <f t="shared" si="12"/>
        <v>19260615.333333328</v>
      </c>
      <c r="G285" s="1230">
        <f t="shared" si="14"/>
        <v>2886409.633938523</v>
      </c>
      <c r="H285" s="1233">
        <f t="shared" si="15"/>
        <v>2886409.633938523</v>
      </c>
      <c r="I285" s="743">
        <f t="shared" si="16"/>
        <v>0</v>
      </c>
      <c r="J285" s="743"/>
      <c r="K285" s="869">
        <v>3162406</v>
      </c>
      <c r="L285" s="749"/>
      <c r="M285" s="869">
        <v>3162406</v>
      </c>
      <c r="N285" s="749"/>
      <c r="O285" s="749"/>
    </row>
    <row r="286" spans="1:15">
      <c r="C286" s="1247">
        <f>IF(D275="","-",+C285+1)</f>
        <v>2018</v>
      </c>
      <c r="D286" s="1235">
        <f t="shared" si="13"/>
        <v>19260615.333333328</v>
      </c>
      <c r="E286" s="1236">
        <f t="shared" si="17"/>
        <v>577818.46</v>
      </c>
      <c r="F286" s="1235">
        <f t="shared" si="12"/>
        <v>18682796.873333327</v>
      </c>
      <c r="G286" s="1237">
        <f t="shared" si="14"/>
        <v>2818175.4120487142</v>
      </c>
      <c r="H286" s="1238">
        <f t="shared" si="15"/>
        <v>2818175.4120487142</v>
      </c>
      <c r="I286" s="1239">
        <f t="shared" si="16"/>
        <v>0</v>
      </c>
      <c r="J286" s="743"/>
      <c r="K286" s="869">
        <v>2623914</v>
      </c>
      <c r="L286" s="749"/>
      <c r="M286" s="869">
        <v>2623914</v>
      </c>
      <c r="N286" s="749"/>
      <c r="O286" s="749"/>
    </row>
    <row r="287" spans="1:15">
      <c r="C287" s="739">
        <f>IF(D275="","-",+C286+1)</f>
        <v>2019</v>
      </c>
      <c r="D287" s="691">
        <f t="shared" si="13"/>
        <v>18682796.873333327</v>
      </c>
      <c r="E287" s="746">
        <f t="shared" si="17"/>
        <v>577818.46</v>
      </c>
      <c r="F287" s="691">
        <f t="shared" si="12"/>
        <v>18104978.413333327</v>
      </c>
      <c r="G287" s="1230">
        <f t="shared" si="14"/>
        <v>2749941.1901589055</v>
      </c>
      <c r="H287" s="1233">
        <f t="shared" si="15"/>
        <v>2749941.1901589055</v>
      </c>
      <c r="I287" s="743">
        <f t="shared" si="16"/>
        <v>0</v>
      </c>
      <c r="J287" s="743"/>
      <c r="K287" s="869">
        <v>2433872.9423121419</v>
      </c>
      <c r="L287" s="749"/>
      <c r="M287" s="869">
        <v>2433872.9423121419</v>
      </c>
      <c r="N287" s="749"/>
      <c r="O287" s="749"/>
    </row>
    <row r="288" spans="1:15">
      <c r="C288" s="739">
        <f>IF(D275="","-",+C287+1)</f>
        <v>2020</v>
      </c>
      <c r="D288" s="691">
        <f t="shared" si="13"/>
        <v>18104978.413333327</v>
      </c>
      <c r="E288" s="746">
        <f t="shared" si="17"/>
        <v>577818.46</v>
      </c>
      <c r="F288" s="691">
        <f t="shared" si="12"/>
        <v>17527159.953333326</v>
      </c>
      <c r="G288" s="1230">
        <f t="shared" si="14"/>
        <v>2681706.9682690972</v>
      </c>
      <c r="H288" s="1233">
        <f t="shared" si="15"/>
        <v>2681706.9682690972</v>
      </c>
      <c r="I288" s="743">
        <f t="shared" si="16"/>
        <v>0</v>
      </c>
      <c r="J288" s="743"/>
      <c r="K288" s="869">
        <v>2310007.1446601301</v>
      </c>
      <c r="L288" s="749"/>
      <c r="M288" s="869">
        <v>2310007.1446601301</v>
      </c>
      <c r="N288" s="749"/>
      <c r="O288" s="749"/>
    </row>
    <row r="289" spans="3:15">
      <c r="C289" s="739">
        <f>IF(D275="","-",+C288+1)</f>
        <v>2021</v>
      </c>
      <c r="D289" s="691">
        <f t="shared" si="13"/>
        <v>17527159.953333326</v>
      </c>
      <c r="E289" s="746">
        <f t="shared" si="17"/>
        <v>577818.46</v>
      </c>
      <c r="F289" s="691">
        <f t="shared" si="12"/>
        <v>16949341.493333325</v>
      </c>
      <c r="G289" s="1230">
        <f t="shared" si="14"/>
        <v>2613472.7463792879</v>
      </c>
      <c r="H289" s="1233">
        <f t="shared" si="15"/>
        <v>2613472.7463792879</v>
      </c>
      <c r="I289" s="743">
        <f t="shared" si="16"/>
        <v>0</v>
      </c>
      <c r="J289" s="743"/>
      <c r="K289" s="869">
        <v>2278397.9465958402</v>
      </c>
      <c r="L289" s="749"/>
      <c r="M289" s="869">
        <v>2278397.9465958402</v>
      </c>
      <c r="N289" s="749"/>
      <c r="O289" s="749"/>
    </row>
    <row r="290" spans="3:15">
      <c r="C290" s="739">
        <f>IF(D275="","-",+C289+1)</f>
        <v>2022</v>
      </c>
      <c r="D290" s="691">
        <f t="shared" si="13"/>
        <v>16949341.493333325</v>
      </c>
      <c r="E290" s="746">
        <f t="shared" si="17"/>
        <v>577818.46</v>
      </c>
      <c r="F290" s="691">
        <f t="shared" si="12"/>
        <v>16371523.033333324</v>
      </c>
      <c r="G290" s="1230">
        <f t="shared" si="14"/>
        <v>2545238.5244894796</v>
      </c>
      <c r="H290" s="1233">
        <f t="shared" si="15"/>
        <v>2545238.5244894796</v>
      </c>
      <c r="I290" s="743">
        <f t="shared" si="16"/>
        <v>0</v>
      </c>
      <c r="J290" s="743"/>
      <c r="K290" s="869">
        <v>2308748.3791163582</v>
      </c>
      <c r="L290" s="749"/>
      <c r="M290" s="869">
        <v>2308748.3791163582</v>
      </c>
      <c r="N290" s="749"/>
      <c r="O290" s="749"/>
    </row>
    <row r="291" spans="3:15">
      <c r="C291" s="739">
        <f>IF(D275="","-",+C290+1)</f>
        <v>2023</v>
      </c>
      <c r="D291" s="691">
        <f t="shared" si="13"/>
        <v>16371523.033333324</v>
      </c>
      <c r="E291" s="746">
        <f t="shared" si="17"/>
        <v>577818.46</v>
      </c>
      <c r="F291" s="691">
        <f t="shared" si="12"/>
        <v>15793704.573333323</v>
      </c>
      <c r="G291" s="1230">
        <f t="shared" si="14"/>
        <v>2477004.3025996708</v>
      </c>
      <c r="H291" s="1233">
        <f t="shared" si="15"/>
        <v>2477004.3025996708</v>
      </c>
      <c r="I291" s="743">
        <f t="shared" si="16"/>
        <v>0</v>
      </c>
      <c r="J291" s="743"/>
      <c r="K291" s="869">
        <v>2447063.658699309</v>
      </c>
      <c r="L291" s="749"/>
      <c r="M291" s="869">
        <v>2447063.658699309</v>
      </c>
      <c r="N291" s="749"/>
      <c r="O291" s="749"/>
    </row>
    <row r="292" spans="3:15">
      <c r="C292" s="739">
        <f>IF(D275="","-",+C291+1)</f>
        <v>2024</v>
      </c>
      <c r="D292" s="691">
        <f t="shared" si="13"/>
        <v>15793704.573333323</v>
      </c>
      <c r="E292" s="746">
        <f t="shared" si="17"/>
        <v>577818.46</v>
      </c>
      <c r="F292" s="691">
        <f t="shared" si="12"/>
        <v>15215886.113333322</v>
      </c>
      <c r="G292" s="1230">
        <f t="shared" si="14"/>
        <v>2408770.0807098625</v>
      </c>
      <c r="H292" s="1233">
        <f t="shared" si="15"/>
        <v>2408770.0807098625</v>
      </c>
      <c r="I292" s="743">
        <f t="shared" si="16"/>
        <v>0</v>
      </c>
      <c r="J292" s="743"/>
      <c r="K292" s="869">
        <v>2455322.5957896682</v>
      </c>
      <c r="L292" s="749"/>
      <c r="M292" s="869">
        <v>2455322.5957896682</v>
      </c>
      <c r="N292" s="749"/>
      <c r="O292" s="749"/>
    </row>
    <row r="293" spans="3:15">
      <c r="C293" s="739">
        <f>IF(D275="","-",+C292+1)</f>
        <v>2025</v>
      </c>
      <c r="D293" s="691">
        <f t="shared" si="13"/>
        <v>15215886.113333322</v>
      </c>
      <c r="E293" s="746">
        <f t="shared" si="17"/>
        <v>577818.46</v>
      </c>
      <c r="F293" s="691">
        <f t="shared" si="12"/>
        <v>14638067.653333321</v>
      </c>
      <c r="G293" s="1230">
        <f t="shared" si="14"/>
        <v>2340535.8588200537</v>
      </c>
      <c r="H293" s="1233">
        <f t="shared" si="15"/>
        <v>2340535.8588200537</v>
      </c>
      <c r="I293" s="743">
        <f t="shared" si="16"/>
        <v>0</v>
      </c>
      <c r="J293" s="743"/>
      <c r="K293" s="869"/>
      <c r="L293" s="749"/>
      <c r="M293" s="869"/>
      <c r="N293" s="749"/>
      <c r="O293" s="749"/>
    </row>
    <row r="294" spans="3:15">
      <c r="C294" s="739">
        <f>IF(D275="","-",+C293+1)</f>
        <v>2026</v>
      </c>
      <c r="D294" s="691">
        <f t="shared" si="13"/>
        <v>14638067.653333321</v>
      </c>
      <c r="E294" s="746">
        <f t="shared" si="17"/>
        <v>577818.46</v>
      </c>
      <c r="F294" s="691">
        <f t="shared" si="12"/>
        <v>14060249.19333332</v>
      </c>
      <c r="G294" s="1230">
        <f t="shared" si="14"/>
        <v>2272301.636930245</v>
      </c>
      <c r="H294" s="1233">
        <f t="shared" si="15"/>
        <v>2272301.636930245</v>
      </c>
      <c r="I294" s="743">
        <f t="shared" si="16"/>
        <v>0</v>
      </c>
      <c r="J294" s="743"/>
      <c r="K294" s="869"/>
      <c r="L294" s="749"/>
      <c r="M294" s="869"/>
      <c r="N294" s="749"/>
      <c r="O294" s="749"/>
    </row>
    <row r="295" spans="3:15">
      <c r="C295" s="739">
        <f>IF(D275="","-",+C294+1)</f>
        <v>2027</v>
      </c>
      <c r="D295" s="691">
        <f t="shared" si="13"/>
        <v>14060249.19333332</v>
      </c>
      <c r="E295" s="746">
        <f t="shared" si="17"/>
        <v>577818.46</v>
      </c>
      <c r="F295" s="691">
        <f t="shared" si="12"/>
        <v>13482430.733333319</v>
      </c>
      <c r="G295" s="1230">
        <f t="shared" si="14"/>
        <v>2204067.4150404362</v>
      </c>
      <c r="H295" s="1233">
        <f t="shared" si="15"/>
        <v>2204067.4150404362</v>
      </c>
      <c r="I295" s="743">
        <f t="shared" si="16"/>
        <v>0</v>
      </c>
      <c r="J295" s="743"/>
      <c r="K295" s="869"/>
      <c r="L295" s="749"/>
      <c r="M295" s="869"/>
      <c r="N295" s="749"/>
      <c r="O295" s="749"/>
    </row>
    <row r="296" spans="3:15">
      <c r="C296" s="739">
        <f>IF(D275="","-",+C295+1)</f>
        <v>2028</v>
      </c>
      <c r="D296" s="691">
        <f t="shared" si="13"/>
        <v>13482430.733333319</v>
      </c>
      <c r="E296" s="746">
        <f t="shared" si="17"/>
        <v>577818.46</v>
      </c>
      <c r="F296" s="691">
        <f t="shared" si="12"/>
        <v>12904612.273333319</v>
      </c>
      <c r="G296" s="1230">
        <f t="shared" si="14"/>
        <v>2135833.1931506274</v>
      </c>
      <c r="H296" s="1233">
        <f t="shared" si="15"/>
        <v>2135833.1931506274</v>
      </c>
      <c r="I296" s="743">
        <f t="shared" si="16"/>
        <v>0</v>
      </c>
      <c r="J296" s="743"/>
      <c r="K296" s="869"/>
      <c r="L296" s="749"/>
      <c r="M296" s="869"/>
      <c r="N296" s="749"/>
      <c r="O296" s="749"/>
    </row>
    <row r="297" spans="3:15">
      <c r="C297" s="739">
        <f>IF(D275="","-",+C296+1)</f>
        <v>2029</v>
      </c>
      <c r="D297" s="691">
        <f t="shared" si="13"/>
        <v>12904612.273333319</v>
      </c>
      <c r="E297" s="746">
        <f t="shared" si="17"/>
        <v>577818.46</v>
      </c>
      <c r="F297" s="691">
        <f t="shared" si="12"/>
        <v>12326793.813333318</v>
      </c>
      <c r="G297" s="1230">
        <f t="shared" si="14"/>
        <v>2067598.9712608189</v>
      </c>
      <c r="H297" s="1233">
        <f t="shared" si="15"/>
        <v>2067598.9712608189</v>
      </c>
      <c r="I297" s="743">
        <f t="shared" si="16"/>
        <v>0</v>
      </c>
      <c r="J297" s="743"/>
      <c r="K297" s="869"/>
      <c r="L297" s="749"/>
      <c r="M297" s="869"/>
      <c r="N297" s="749"/>
      <c r="O297" s="749"/>
    </row>
    <row r="298" spans="3:15">
      <c r="C298" s="739">
        <f>IF(D275="","-",+C297+1)</f>
        <v>2030</v>
      </c>
      <c r="D298" s="691">
        <f t="shared" si="13"/>
        <v>12326793.813333318</v>
      </c>
      <c r="E298" s="746">
        <f t="shared" si="17"/>
        <v>577818.46</v>
      </c>
      <c r="F298" s="691">
        <f t="shared" si="12"/>
        <v>11748975.353333317</v>
      </c>
      <c r="G298" s="1230">
        <f t="shared" si="14"/>
        <v>1999364.7493710101</v>
      </c>
      <c r="H298" s="1233">
        <f t="shared" si="15"/>
        <v>1999364.7493710101</v>
      </c>
      <c r="I298" s="743">
        <f t="shared" si="16"/>
        <v>0</v>
      </c>
      <c r="J298" s="743"/>
      <c r="K298" s="869"/>
      <c r="L298" s="749"/>
      <c r="M298" s="869"/>
      <c r="N298" s="749"/>
      <c r="O298" s="749"/>
    </row>
    <row r="299" spans="3:15">
      <c r="C299" s="739">
        <f>IF(D275="","-",+C298+1)</f>
        <v>2031</v>
      </c>
      <c r="D299" s="691">
        <f t="shared" si="13"/>
        <v>11748975.353333317</v>
      </c>
      <c r="E299" s="746">
        <f t="shared" si="17"/>
        <v>577818.46</v>
      </c>
      <c r="F299" s="691">
        <f t="shared" si="12"/>
        <v>11171156.893333316</v>
      </c>
      <c r="G299" s="1230">
        <f t="shared" si="14"/>
        <v>1931130.5274812013</v>
      </c>
      <c r="H299" s="1233">
        <f t="shared" si="15"/>
        <v>1931130.5274812013</v>
      </c>
      <c r="I299" s="743">
        <f t="shared" si="16"/>
        <v>0</v>
      </c>
      <c r="J299" s="743"/>
      <c r="K299" s="869"/>
      <c r="L299" s="749"/>
      <c r="M299" s="869"/>
      <c r="N299" s="749"/>
      <c r="O299" s="749"/>
    </row>
    <row r="300" spans="3:15">
      <c r="C300" s="739">
        <f>IF(D275="","-",+C299+1)</f>
        <v>2032</v>
      </c>
      <c r="D300" s="691">
        <f t="shared" si="13"/>
        <v>11171156.893333316</v>
      </c>
      <c r="E300" s="746">
        <f t="shared" si="17"/>
        <v>577818.46</v>
      </c>
      <c r="F300" s="691">
        <f t="shared" si="12"/>
        <v>10593338.433333315</v>
      </c>
      <c r="G300" s="1230">
        <f t="shared" si="14"/>
        <v>1862896.3055913928</v>
      </c>
      <c r="H300" s="1233">
        <f t="shared" si="15"/>
        <v>1862896.3055913928</v>
      </c>
      <c r="I300" s="743">
        <f t="shared" si="16"/>
        <v>0</v>
      </c>
      <c r="J300" s="743"/>
      <c r="K300" s="869"/>
      <c r="L300" s="749"/>
      <c r="M300" s="869"/>
      <c r="N300" s="749"/>
      <c r="O300" s="749"/>
    </row>
    <row r="301" spans="3:15">
      <c r="C301" s="739">
        <f>IF(D275="","-",+C300+1)</f>
        <v>2033</v>
      </c>
      <c r="D301" s="691">
        <f t="shared" si="13"/>
        <v>10593338.433333315</v>
      </c>
      <c r="E301" s="746">
        <f t="shared" si="17"/>
        <v>577818.46</v>
      </c>
      <c r="F301" s="691">
        <f t="shared" si="12"/>
        <v>10015519.973333314</v>
      </c>
      <c r="G301" s="1230">
        <f t="shared" si="14"/>
        <v>1794662.083701584</v>
      </c>
      <c r="H301" s="1233">
        <f t="shared" si="15"/>
        <v>1794662.083701584</v>
      </c>
      <c r="I301" s="743">
        <f t="shared" si="16"/>
        <v>0</v>
      </c>
      <c r="J301" s="743"/>
      <c r="K301" s="869"/>
      <c r="L301" s="749"/>
      <c r="M301" s="869"/>
      <c r="N301" s="749"/>
      <c r="O301" s="749"/>
    </row>
    <row r="302" spans="3:15">
      <c r="C302" s="739">
        <f>IF(D275="","-",+C301+1)</f>
        <v>2034</v>
      </c>
      <c r="D302" s="691">
        <f t="shared" si="13"/>
        <v>10015519.973333314</v>
      </c>
      <c r="E302" s="746">
        <f t="shared" si="17"/>
        <v>577818.46</v>
      </c>
      <c r="F302" s="691">
        <f t="shared" si="12"/>
        <v>9437701.5133333132</v>
      </c>
      <c r="G302" s="1230">
        <f t="shared" si="14"/>
        <v>1726427.8618117755</v>
      </c>
      <c r="H302" s="1233">
        <f t="shared" si="15"/>
        <v>1726427.8618117755</v>
      </c>
      <c r="I302" s="743">
        <f t="shared" si="16"/>
        <v>0</v>
      </c>
      <c r="J302" s="743"/>
      <c r="K302" s="869"/>
      <c r="L302" s="749"/>
      <c r="M302" s="869"/>
      <c r="N302" s="749"/>
      <c r="O302" s="749"/>
    </row>
    <row r="303" spans="3:15">
      <c r="C303" s="739">
        <f>IF(D275="","-",+C302+1)</f>
        <v>2035</v>
      </c>
      <c r="D303" s="691">
        <f t="shared" si="13"/>
        <v>9437701.5133333132</v>
      </c>
      <c r="E303" s="746">
        <f t="shared" si="17"/>
        <v>577818.46</v>
      </c>
      <c r="F303" s="691">
        <f t="shared" si="12"/>
        <v>8859883.0533333123</v>
      </c>
      <c r="G303" s="1230">
        <f t="shared" si="14"/>
        <v>1658193.6399219667</v>
      </c>
      <c r="H303" s="1233">
        <f t="shared" si="15"/>
        <v>1658193.6399219667</v>
      </c>
      <c r="I303" s="743">
        <f t="shared" si="16"/>
        <v>0</v>
      </c>
      <c r="J303" s="743"/>
      <c r="K303" s="869"/>
      <c r="L303" s="749"/>
      <c r="M303" s="869"/>
      <c r="N303" s="749"/>
      <c r="O303" s="749"/>
    </row>
    <row r="304" spans="3:15">
      <c r="C304" s="739">
        <f>IF(D275="","-",+C303+1)</f>
        <v>2036</v>
      </c>
      <c r="D304" s="691">
        <f t="shared" si="13"/>
        <v>8859883.0533333123</v>
      </c>
      <c r="E304" s="746">
        <f t="shared" si="17"/>
        <v>577818.46</v>
      </c>
      <c r="F304" s="691">
        <f t="shared" si="12"/>
        <v>8282064.5933333123</v>
      </c>
      <c r="G304" s="1230">
        <f t="shared" si="14"/>
        <v>1589959.4180321582</v>
      </c>
      <c r="H304" s="1233">
        <f t="shared" si="15"/>
        <v>1589959.4180321582</v>
      </c>
      <c r="I304" s="743">
        <f t="shared" si="16"/>
        <v>0</v>
      </c>
      <c r="J304" s="743"/>
      <c r="K304" s="869"/>
      <c r="L304" s="749"/>
      <c r="M304" s="869"/>
      <c r="N304" s="749"/>
      <c r="O304" s="749"/>
    </row>
    <row r="305" spans="3:15">
      <c r="C305" s="739">
        <f>IF(D275="","-",+C304+1)</f>
        <v>2037</v>
      </c>
      <c r="D305" s="691">
        <f t="shared" si="13"/>
        <v>8282064.5933333123</v>
      </c>
      <c r="E305" s="746">
        <f t="shared" si="17"/>
        <v>577818.46</v>
      </c>
      <c r="F305" s="691">
        <f t="shared" si="12"/>
        <v>7704246.1333333123</v>
      </c>
      <c r="G305" s="1230">
        <f t="shared" si="14"/>
        <v>1521725.1961423494</v>
      </c>
      <c r="H305" s="1233">
        <f t="shared" si="15"/>
        <v>1521725.1961423494</v>
      </c>
      <c r="I305" s="743">
        <f t="shared" si="16"/>
        <v>0</v>
      </c>
      <c r="J305" s="743"/>
      <c r="K305" s="869"/>
      <c r="L305" s="749"/>
      <c r="M305" s="869"/>
      <c r="N305" s="749"/>
      <c r="O305" s="749"/>
    </row>
    <row r="306" spans="3:15">
      <c r="C306" s="739">
        <f>IF(D275="","-",+C305+1)</f>
        <v>2038</v>
      </c>
      <c r="D306" s="691">
        <f t="shared" si="13"/>
        <v>7704246.1333333123</v>
      </c>
      <c r="E306" s="746">
        <f t="shared" si="17"/>
        <v>577818.46</v>
      </c>
      <c r="F306" s="691">
        <f t="shared" si="12"/>
        <v>7126427.6733333124</v>
      </c>
      <c r="G306" s="1230">
        <f t="shared" si="14"/>
        <v>1453490.9742525409</v>
      </c>
      <c r="H306" s="1233">
        <f t="shared" si="15"/>
        <v>1453490.9742525409</v>
      </c>
      <c r="I306" s="743">
        <f t="shared" si="16"/>
        <v>0</v>
      </c>
      <c r="J306" s="743"/>
      <c r="K306" s="869"/>
      <c r="L306" s="749"/>
      <c r="M306" s="869"/>
      <c r="N306" s="749"/>
      <c r="O306" s="749"/>
    </row>
    <row r="307" spans="3:15">
      <c r="C307" s="739">
        <f>IF(D275="","-",+C306+1)</f>
        <v>2039</v>
      </c>
      <c r="D307" s="691">
        <f t="shared" si="13"/>
        <v>7126427.6733333124</v>
      </c>
      <c r="E307" s="746">
        <f t="shared" si="17"/>
        <v>577818.46</v>
      </c>
      <c r="F307" s="691">
        <f t="shared" si="12"/>
        <v>6548609.2133333124</v>
      </c>
      <c r="G307" s="1230">
        <f t="shared" si="14"/>
        <v>1385256.7523627323</v>
      </c>
      <c r="H307" s="1233">
        <f t="shared" si="15"/>
        <v>1385256.7523627323</v>
      </c>
      <c r="I307" s="743">
        <f t="shared" si="16"/>
        <v>0</v>
      </c>
      <c r="J307" s="743"/>
      <c r="K307" s="869"/>
      <c r="L307" s="749"/>
      <c r="M307" s="869"/>
      <c r="N307" s="749"/>
      <c r="O307" s="749"/>
    </row>
    <row r="308" spans="3:15">
      <c r="C308" s="739">
        <f>IF(D275="","-",+C307+1)</f>
        <v>2040</v>
      </c>
      <c r="D308" s="691">
        <f t="shared" si="13"/>
        <v>6548609.2133333124</v>
      </c>
      <c r="E308" s="746">
        <f t="shared" si="17"/>
        <v>577818.46</v>
      </c>
      <c r="F308" s="691">
        <f t="shared" si="12"/>
        <v>5970790.7533333125</v>
      </c>
      <c r="G308" s="1230">
        <f t="shared" si="14"/>
        <v>1317022.5304729235</v>
      </c>
      <c r="H308" s="1233">
        <f t="shared" si="15"/>
        <v>1317022.5304729235</v>
      </c>
      <c r="I308" s="743">
        <f t="shared" si="16"/>
        <v>0</v>
      </c>
      <c r="J308" s="743"/>
      <c r="K308" s="869"/>
      <c r="L308" s="749"/>
      <c r="M308" s="869"/>
      <c r="N308" s="749"/>
      <c r="O308" s="749"/>
    </row>
    <row r="309" spans="3:15">
      <c r="C309" s="739">
        <f>IF(D275="","-",+C308+1)</f>
        <v>2041</v>
      </c>
      <c r="D309" s="691">
        <f t="shared" si="13"/>
        <v>5970790.7533333125</v>
      </c>
      <c r="E309" s="746">
        <f t="shared" si="17"/>
        <v>577818.46</v>
      </c>
      <c r="F309" s="691">
        <f t="shared" si="12"/>
        <v>5392972.2933333125</v>
      </c>
      <c r="G309" s="1240">
        <f t="shared" si="14"/>
        <v>1248788.3085831152</v>
      </c>
      <c r="H309" s="1233">
        <f t="shared" si="15"/>
        <v>1248788.3085831152</v>
      </c>
      <c r="I309" s="743">
        <f t="shared" si="16"/>
        <v>0</v>
      </c>
      <c r="J309" s="743"/>
      <c r="K309" s="869"/>
      <c r="L309" s="749"/>
      <c r="M309" s="869"/>
      <c r="N309" s="749"/>
      <c r="O309" s="749"/>
    </row>
    <row r="310" spans="3:15">
      <c r="C310" s="739">
        <f>IF(D275="","-",+C309+1)</f>
        <v>2042</v>
      </c>
      <c r="D310" s="691">
        <f t="shared" si="13"/>
        <v>5392972.2933333125</v>
      </c>
      <c r="E310" s="746">
        <f t="shared" si="17"/>
        <v>577818.46</v>
      </c>
      <c r="F310" s="691">
        <f t="shared" si="12"/>
        <v>4815153.8333333125</v>
      </c>
      <c r="G310" s="1230">
        <f t="shared" si="14"/>
        <v>1180554.0866933065</v>
      </c>
      <c r="H310" s="1233">
        <f t="shared" si="15"/>
        <v>1180554.0866933065</v>
      </c>
      <c r="I310" s="743">
        <f t="shared" si="16"/>
        <v>0</v>
      </c>
      <c r="J310" s="743"/>
      <c r="K310" s="869"/>
      <c r="L310" s="749"/>
      <c r="M310" s="869"/>
      <c r="N310" s="749"/>
      <c r="O310" s="749"/>
    </row>
    <row r="311" spans="3:15">
      <c r="C311" s="739">
        <f>IF(D275="","-",+C310+1)</f>
        <v>2043</v>
      </c>
      <c r="D311" s="691">
        <f t="shared" si="13"/>
        <v>4815153.8333333125</v>
      </c>
      <c r="E311" s="746">
        <f t="shared" si="17"/>
        <v>577818.46</v>
      </c>
      <c r="F311" s="691">
        <f t="shared" si="12"/>
        <v>4237335.3733333126</v>
      </c>
      <c r="G311" s="1230">
        <f t="shared" si="14"/>
        <v>1112319.8648034981</v>
      </c>
      <c r="H311" s="1233">
        <f t="shared" si="15"/>
        <v>1112319.8648034981</v>
      </c>
      <c r="I311" s="743">
        <f t="shared" si="16"/>
        <v>0</v>
      </c>
      <c r="J311" s="743"/>
      <c r="K311" s="869"/>
      <c r="L311" s="749"/>
      <c r="M311" s="869"/>
      <c r="N311" s="749"/>
      <c r="O311" s="749"/>
    </row>
    <row r="312" spans="3:15">
      <c r="C312" s="739">
        <f>IF(D275="","-",+C311+1)</f>
        <v>2044</v>
      </c>
      <c r="D312" s="691">
        <f t="shared" si="13"/>
        <v>4237335.3733333126</v>
      </c>
      <c r="E312" s="746">
        <f t="shared" si="17"/>
        <v>577818.46</v>
      </c>
      <c r="F312" s="691">
        <f t="shared" si="12"/>
        <v>3659516.9133333126</v>
      </c>
      <c r="G312" s="1230">
        <f t="shared" si="14"/>
        <v>1044085.6429136895</v>
      </c>
      <c r="H312" s="1233">
        <f t="shared" si="15"/>
        <v>1044085.6429136895</v>
      </c>
      <c r="I312" s="743">
        <f t="shared" si="16"/>
        <v>0</v>
      </c>
      <c r="J312" s="743"/>
      <c r="K312" s="869"/>
      <c r="L312" s="749"/>
      <c r="M312" s="869"/>
      <c r="N312" s="749"/>
      <c r="O312" s="749"/>
    </row>
    <row r="313" spans="3:15">
      <c r="C313" s="739">
        <f>IF(D275="","-",+C312+1)</f>
        <v>2045</v>
      </c>
      <c r="D313" s="691">
        <f t="shared" si="13"/>
        <v>3659516.9133333126</v>
      </c>
      <c r="E313" s="746">
        <f t="shared" si="17"/>
        <v>577818.46</v>
      </c>
      <c r="F313" s="691">
        <f t="shared" si="12"/>
        <v>3081698.4533333126</v>
      </c>
      <c r="G313" s="1230">
        <f t="shared" si="14"/>
        <v>975851.42102388083</v>
      </c>
      <c r="H313" s="1233">
        <f t="shared" si="15"/>
        <v>975851.42102388083</v>
      </c>
      <c r="I313" s="743">
        <f t="shared" si="16"/>
        <v>0</v>
      </c>
      <c r="J313" s="743"/>
      <c r="K313" s="869"/>
      <c r="L313" s="749"/>
      <c r="M313" s="869"/>
      <c r="N313" s="749"/>
      <c r="O313" s="749"/>
    </row>
    <row r="314" spans="3:15">
      <c r="C314" s="739">
        <f>IF(D275="","-",+C313+1)</f>
        <v>2046</v>
      </c>
      <c r="D314" s="691">
        <f t="shared" si="13"/>
        <v>3081698.4533333126</v>
      </c>
      <c r="E314" s="746">
        <f t="shared" si="17"/>
        <v>577818.46</v>
      </c>
      <c r="F314" s="691">
        <f t="shared" si="12"/>
        <v>2503879.9933333127</v>
      </c>
      <c r="G314" s="1230">
        <f t="shared" si="14"/>
        <v>907617.19913407229</v>
      </c>
      <c r="H314" s="1233">
        <f t="shared" si="15"/>
        <v>907617.19913407229</v>
      </c>
      <c r="I314" s="743">
        <f t="shared" si="16"/>
        <v>0</v>
      </c>
      <c r="J314" s="743"/>
      <c r="K314" s="869"/>
      <c r="L314" s="749"/>
      <c r="M314" s="869"/>
      <c r="N314" s="749"/>
      <c r="O314" s="749"/>
    </row>
    <row r="315" spans="3:15">
      <c r="C315" s="739">
        <f>IF(D275="","-",+C314+1)</f>
        <v>2047</v>
      </c>
      <c r="D315" s="691">
        <f t="shared" si="13"/>
        <v>2503879.9933333127</v>
      </c>
      <c r="E315" s="746">
        <f t="shared" si="17"/>
        <v>577818.46</v>
      </c>
      <c r="F315" s="691">
        <f t="shared" si="12"/>
        <v>1926061.5333333127</v>
      </c>
      <c r="G315" s="1230">
        <f t="shared" si="14"/>
        <v>839382.97724426375</v>
      </c>
      <c r="H315" s="1233">
        <f t="shared" si="15"/>
        <v>839382.97724426375</v>
      </c>
      <c r="I315" s="743">
        <f t="shared" si="16"/>
        <v>0</v>
      </c>
      <c r="J315" s="743"/>
      <c r="K315" s="869"/>
      <c r="L315" s="749"/>
      <c r="M315" s="869"/>
      <c r="N315" s="749"/>
      <c r="O315" s="749"/>
    </row>
    <row r="316" spans="3:15">
      <c r="C316" s="739">
        <f>IF(D275="","-",+C315+1)</f>
        <v>2048</v>
      </c>
      <c r="D316" s="691">
        <f t="shared" si="13"/>
        <v>1926061.5333333127</v>
      </c>
      <c r="E316" s="746">
        <f t="shared" si="17"/>
        <v>577818.46</v>
      </c>
      <c r="F316" s="691">
        <f t="shared" si="12"/>
        <v>1348243.0733333128</v>
      </c>
      <c r="G316" s="1230">
        <f t="shared" si="14"/>
        <v>771148.75535445521</v>
      </c>
      <c r="H316" s="1233">
        <f t="shared" si="15"/>
        <v>771148.75535445521</v>
      </c>
      <c r="I316" s="743">
        <f t="shared" si="16"/>
        <v>0</v>
      </c>
      <c r="J316" s="743"/>
      <c r="K316" s="869"/>
      <c r="L316" s="749"/>
      <c r="M316" s="869"/>
      <c r="N316" s="749"/>
      <c r="O316" s="749"/>
    </row>
    <row r="317" spans="3:15">
      <c r="C317" s="739">
        <f>IF(D275="","-",+C316+1)</f>
        <v>2049</v>
      </c>
      <c r="D317" s="691">
        <f t="shared" si="13"/>
        <v>1348243.0733333128</v>
      </c>
      <c r="E317" s="746">
        <f t="shared" si="17"/>
        <v>577818.46</v>
      </c>
      <c r="F317" s="691">
        <f t="shared" si="12"/>
        <v>770424.61333331279</v>
      </c>
      <c r="G317" s="1230">
        <f t="shared" si="14"/>
        <v>702914.53346464655</v>
      </c>
      <c r="H317" s="1233">
        <f t="shared" si="15"/>
        <v>702914.53346464655</v>
      </c>
      <c r="I317" s="743">
        <f t="shared" si="16"/>
        <v>0</v>
      </c>
      <c r="J317" s="743"/>
      <c r="K317" s="869"/>
      <c r="L317" s="749"/>
      <c r="M317" s="869"/>
      <c r="N317" s="749"/>
      <c r="O317" s="749"/>
    </row>
    <row r="318" spans="3:15">
      <c r="C318" s="739">
        <f>IF(D275="","-",+C317+1)</f>
        <v>2050</v>
      </c>
      <c r="D318" s="691">
        <f t="shared" si="13"/>
        <v>770424.61333331279</v>
      </c>
      <c r="E318" s="746">
        <f t="shared" si="17"/>
        <v>577818.46</v>
      </c>
      <c r="F318" s="691">
        <f t="shared" si="12"/>
        <v>192606.15333331283</v>
      </c>
      <c r="G318" s="1230">
        <f t="shared" si="14"/>
        <v>634680.31157483801</v>
      </c>
      <c r="H318" s="1233">
        <f t="shared" si="15"/>
        <v>634680.31157483801</v>
      </c>
      <c r="I318" s="743">
        <f t="shared" si="16"/>
        <v>0</v>
      </c>
      <c r="J318" s="743"/>
      <c r="K318" s="869"/>
      <c r="L318" s="749"/>
      <c r="M318" s="869"/>
      <c r="N318" s="749"/>
      <c r="O318" s="749"/>
    </row>
    <row r="319" spans="3:15">
      <c r="C319" s="739">
        <f>IF(D275="","-",+C318+1)</f>
        <v>2051</v>
      </c>
      <c r="D319" s="691">
        <f t="shared" si="13"/>
        <v>192606.15333331283</v>
      </c>
      <c r="E319" s="746">
        <f t="shared" si="17"/>
        <v>192606.15333331283</v>
      </c>
      <c r="F319" s="691">
        <f t="shared" si="12"/>
        <v>0</v>
      </c>
      <c r="G319" s="1230">
        <f t="shared" si="14"/>
        <v>203978.52364827972</v>
      </c>
      <c r="H319" s="1233">
        <f t="shared" si="15"/>
        <v>203978.52364827972</v>
      </c>
      <c r="I319" s="743">
        <f t="shared" si="16"/>
        <v>0</v>
      </c>
      <c r="J319" s="743"/>
      <c r="K319" s="869"/>
      <c r="L319" s="749"/>
      <c r="M319" s="869"/>
      <c r="N319" s="749"/>
      <c r="O319" s="749"/>
    </row>
    <row r="320" spans="3:15">
      <c r="C320" s="739">
        <f>IF(D275="","-",+C319+1)</f>
        <v>2052</v>
      </c>
      <c r="D320" s="691">
        <f t="shared" si="13"/>
        <v>0</v>
      </c>
      <c r="E320" s="746">
        <f t="shared" si="17"/>
        <v>0</v>
      </c>
      <c r="F320" s="691">
        <f t="shared" si="12"/>
        <v>0</v>
      </c>
      <c r="G320" s="1230">
        <f t="shared" si="14"/>
        <v>0</v>
      </c>
      <c r="H320" s="1233">
        <f t="shared" si="15"/>
        <v>0</v>
      </c>
      <c r="I320" s="743">
        <f t="shared" si="16"/>
        <v>0</v>
      </c>
      <c r="J320" s="743"/>
      <c r="K320" s="869"/>
      <c r="L320" s="749"/>
      <c r="M320" s="869"/>
      <c r="N320" s="749"/>
      <c r="O320" s="749"/>
    </row>
    <row r="321" spans="3:15">
      <c r="C321" s="739">
        <f>IF(D275="","-",+C320+1)</f>
        <v>2053</v>
      </c>
      <c r="D321" s="691">
        <f t="shared" si="13"/>
        <v>0</v>
      </c>
      <c r="E321" s="746">
        <f t="shared" si="17"/>
        <v>0</v>
      </c>
      <c r="F321" s="691">
        <f t="shared" si="12"/>
        <v>0</v>
      </c>
      <c r="G321" s="1230">
        <f t="shared" si="14"/>
        <v>0</v>
      </c>
      <c r="H321" s="1233">
        <f t="shared" si="15"/>
        <v>0</v>
      </c>
      <c r="I321" s="743">
        <f t="shared" si="16"/>
        <v>0</v>
      </c>
      <c r="J321" s="743"/>
      <c r="K321" s="869"/>
      <c r="L321" s="749"/>
      <c r="M321" s="869"/>
      <c r="N321" s="749"/>
      <c r="O321" s="749"/>
    </row>
    <row r="322" spans="3:15">
      <c r="C322" s="739">
        <f>IF(D275="","-",+C321+1)</f>
        <v>2054</v>
      </c>
      <c r="D322" s="691">
        <f t="shared" si="13"/>
        <v>0</v>
      </c>
      <c r="E322" s="746">
        <f t="shared" si="17"/>
        <v>0</v>
      </c>
      <c r="F322" s="691">
        <f t="shared" si="12"/>
        <v>0</v>
      </c>
      <c r="G322" s="1230">
        <f t="shared" si="14"/>
        <v>0</v>
      </c>
      <c r="H322" s="1233">
        <f t="shared" si="15"/>
        <v>0</v>
      </c>
      <c r="I322" s="743">
        <f t="shared" si="16"/>
        <v>0</v>
      </c>
      <c r="J322" s="743"/>
      <c r="K322" s="869"/>
      <c r="L322" s="749"/>
      <c r="M322" s="869"/>
      <c r="N322" s="749"/>
      <c r="O322" s="749"/>
    </row>
    <row r="323" spans="3:15">
      <c r="C323" s="739">
        <f>IF(D275="","-",+C322+1)</f>
        <v>2055</v>
      </c>
      <c r="D323" s="691">
        <f t="shared" si="13"/>
        <v>0</v>
      </c>
      <c r="E323" s="746">
        <f t="shared" si="17"/>
        <v>0</v>
      </c>
      <c r="F323" s="691">
        <f t="shared" si="12"/>
        <v>0</v>
      </c>
      <c r="G323" s="1230">
        <f t="shared" si="14"/>
        <v>0</v>
      </c>
      <c r="H323" s="1233">
        <f t="shared" si="15"/>
        <v>0</v>
      </c>
      <c r="I323" s="743">
        <f t="shared" si="16"/>
        <v>0</v>
      </c>
      <c r="J323" s="743"/>
      <c r="K323" s="869"/>
      <c r="L323" s="749"/>
      <c r="M323" s="869"/>
      <c r="N323" s="749"/>
      <c r="O323" s="749"/>
    </row>
    <row r="324" spans="3:15">
      <c r="C324" s="739">
        <f>IF(D275="","-",+C323+1)</f>
        <v>2056</v>
      </c>
      <c r="D324" s="691">
        <f t="shared" si="13"/>
        <v>0</v>
      </c>
      <c r="E324" s="746">
        <f t="shared" si="17"/>
        <v>0</v>
      </c>
      <c r="F324" s="691">
        <f t="shared" si="12"/>
        <v>0</v>
      </c>
      <c r="G324" s="1230">
        <f t="shared" si="14"/>
        <v>0</v>
      </c>
      <c r="H324" s="1233">
        <f t="shared" si="15"/>
        <v>0</v>
      </c>
      <c r="I324" s="743">
        <f t="shared" si="16"/>
        <v>0</v>
      </c>
      <c r="J324" s="743"/>
      <c r="K324" s="869"/>
      <c r="L324" s="749"/>
      <c r="M324" s="869"/>
      <c r="N324" s="749"/>
      <c r="O324" s="749"/>
    </row>
    <row r="325" spans="3:15">
      <c r="C325" s="739">
        <f>IF(D275="","-",+C324+1)</f>
        <v>2057</v>
      </c>
      <c r="D325" s="691">
        <f t="shared" si="13"/>
        <v>0</v>
      </c>
      <c r="E325" s="746">
        <f t="shared" si="17"/>
        <v>0</v>
      </c>
      <c r="F325" s="691">
        <f t="shared" si="12"/>
        <v>0</v>
      </c>
      <c r="G325" s="1230">
        <f t="shared" si="14"/>
        <v>0</v>
      </c>
      <c r="H325" s="1233">
        <f t="shared" si="15"/>
        <v>0</v>
      </c>
      <c r="I325" s="743">
        <f t="shared" si="16"/>
        <v>0</v>
      </c>
      <c r="J325" s="743"/>
      <c r="K325" s="869"/>
      <c r="L325" s="749"/>
      <c r="M325" s="869"/>
      <c r="N325" s="749"/>
      <c r="O325" s="749"/>
    </row>
    <row r="326" spans="3:15">
      <c r="C326" s="739">
        <f>IF(D275="","-",+C325+1)</f>
        <v>2058</v>
      </c>
      <c r="D326" s="691">
        <f t="shared" si="13"/>
        <v>0</v>
      </c>
      <c r="E326" s="746">
        <f t="shared" si="17"/>
        <v>0</v>
      </c>
      <c r="F326" s="691">
        <f t="shared" si="12"/>
        <v>0</v>
      </c>
      <c r="G326" s="1230">
        <f t="shared" si="14"/>
        <v>0</v>
      </c>
      <c r="H326" s="1233">
        <f t="shared" si="15"/>
        <v>0</v>
      </c>
      <c r="I326" s="743">
        <f t="shared" si="16"/>
        <v>0</v>
      </c>
      <c r="J326" s="743"/>
      <c r="K326" s="869"/>
      <c r="L326" s="749"/>
      <c r="M326" s="869"/>
      <c r="N326" s="749"/>
      <c r="O326" s="749"/>
    </row>
    <row r="327" spans="3:15">
      <c r="C327" s="739">
        <f>IF(D275="","-",+C326+1)</f>
        <v>2059</v>
      </c>
      <c r="D327" s="691">
        <f t="shared" si="13"/>
        <v>0</v>
      </c>
      <c r="E327" s="746">
        <f t="shared" si="17"/>
        <v>0</v>
      </c>
      <c r="F327" s="691">
        <f t="shared" si="12"/>
        <v>0</v>
      </c>
      <c r="G327" s="1230">
        <f t="shared" si="14"/>
        <v>0</v>
      </c>
      <c r="H327" s="1233">
        <f t="shared" si="15"/>
        <v>0</v>
      </c>
      <c r="I327" s="743">
        <f t="shared" si="16"/>
        <v>0</v>
      </c>
      <c r="J327" s="743"/>
      <c r="K327" s="869"/>
      <c r="L327" s="749"/>
      <c r="M327" s="869"/>
      <c r="N327" s="749"/>
      <c r="O327" s="749"/>
    </row>
    <row r="328" spans="3:15">
      <c r="C328" s="739">
        <f>IF(D275="","-",+C327+1)</f>
        <v>2060</v>
      </c>
      <c r="D328" s="691">
        <f t="shared" si="13"/>
        <v>0</v>
      </c>
      <c r="E328" s="746">
        <f t="shared" si="17"/>
        <v>0</v>
      </c>
      <c r="F328" s="691">
        <f t="shared" si="12"/>
        <v>0</v>
      </c>
      <c r="G328" s="1230">
        <f t="shared" si="14"/>
        <v>0</v>
      </c>
      <c r="H328" s="1233">
        <f t="shared" si="15"/>
        <v>0</v>
      </c>
      <c r="I328" s="743">
        <f t="shared" si="16"/>
        <v>0</v>
      </c>
      <c r="J328" s="743"/>
      <c r="K328" s="869"/>
      <c r="L328" s="749"/>
      <c r="M328" s="869"/>
      <c r="N328" s="749"/>
      <c r="O328" s="749"/>
    </row>
    <row r="329" spans="3:15">
      <c r="C329" s="739">
        <f>IF(D275="","-",+C328+1)</f>
        <v>2061</v>
      </c>
      <c r="D329" s="691">
        <f t="shared" si="13"/>
        <v>0</v>
      </c>
      <c r="E329" s="746">
        <f t="shared" si="17"/>
        <v>0</v>
      </c>
      <c r="F329" s="691">
        <f t="shared" si="12"/>
        <v>0</v>
      </c>
      <c r="G329" s="1230">
        <f t="shared" si="14"/>
        <v>0</v>
      </c>
      <c r="H329" s="1233">
        <f t="shared" si="15"/>
        <v>0</v>
      </c>
      <c r="I329" s="743">
        <f t="shared" si="16"/>
        <v>0</v>
      </c>
      <c r="J329" s="743"/>
      <c r="K329" s="869"/>
      <c r="L329" s="749"/>
      <c r="M329" s="869"/>
      <c r="N329" s="749"/>
      <c r="O329" s="749"/>
    </row>
    <row r="330" spans="3:15">
      <c r="C330" s="739">
        <f>IF(D275="","-",+C329+1)</f>
        <v>2062</v>
      </c>
      <c r="D330" s="691">
        <f t="shared" si="13"/>
        <v>0</v>
      </c>
      <c r="E330" s="746">
        <f t="shared" si="17"/>
        <v>0</v>
      </c>
      <c r="F330" s="691">
        <f t="shared" si="12"/>
        <v>0</v>
      </c>
      <c r="G330" s="1230">
        <f t="shared" si="14"/>
        <v>0</v>
      </c>
      <c r="H330" s="1233">
        <f t="shared" si="15"/>
        <v>0</v>
      </c>
      <c r="I330" s="743">
        <f t="shared" si="16"/>
        <v>0</v>
      </c>
      <c r="J330" s="743"/>
      <c r="K330" s="869"/>
      <c r="L330" s="749"/>
      <c r="M330" s="869"/>
      <c r="N330" s="749"/>
      <c r="O330" s="749"/>
    </row>
    <row r="331" spans="3:15">
      <c r="C331" s="739">
        <f>IF(D275="","-",+C330+1)</f>
        <v>2063</v>
      </c>
      <c r="D331" s="691">
        <f t="shared" si="13"/>
        <v>0</v>
      </c>
      <c r="E331" s="746">
        <f t="shared" si="17"/>
        <v>0</v>
      </c>
      <c r="F331" s="691">
        <f t="shared" si="12"/>
        <v>0</v>
      </c>
      <c r="G331" s="1230">
        <f t="shared" si="14"/>
        <v>0</v>
      </c>
      <c r="H331" s="1233">
        <f t="shared" si="15"/>
        <v>0</v>
      </c>
      <c r="I331" s="743">
        <f t="shared" si="16"/>
        <v>0</v>
      </c>
      <c r="J331" s="743"/>
      <c r="K331" s="869"/>
      <c r="L331" s="749"/>
      <c r="M331" s="869"/>
      <c r="N331" s="749"/>
      <c r="O331" s="749"/>
    </row>
    <row r="332" spans="3:15">
      <c r="C332" s="739">
        <f>IF(D275="","-",+C331+1)</f>
        <v>2064</v>
      </c>
      <c r="D332" s="691">
        <f t="shared" si="13"/>
        <v>0</v>
      </c>
      <c r="E332" s="746">
        <f t="shared" si="17"/>
        <v>0</v>
      </c>
      <c r="F332" s="691">
        <f t="shared" si="12"/>
        <v>0</v>
      </c>
      <c r="G332" s="1230">
        <f t="shared" si="14"/>
        <v>0</v>
      </c>
      <c r="H332" s="1233">
        <f t="shared" si="15"/>
        <v>0</v>
      </c>
      <c r="I332" s="743">
        <f t="shared" si="16"/>
        <v>0</v>
      </c>
      <c r="J332" s="743"/>
      <c r="K332" s="869"/>
      <c r="L332" s="749"/>
      <c r="M332" s="869"/>
      <c r="N332" s="749"/>
      <c r="O332" s="749"/>
    </row>
    <row r="333" spans="3:15">
      <c r="C333" s="739">
        <f>IF(D275="","-",+C332+1)</f>
        <v>2065</v>
      </c>
      <c r="D333" s="691">
        <f t="shared" si="13"/>
        <v>0</v>
      </c>
      <c r="E333" s="746">
        <f t="shared" si="17"/>
        <v>0</v>
      </c>
      <c r="F333" s="691">
        <f t="shared" si="12"/>
        <v>0</v>
      </c>
      <c r="G333" s="1230">
        <f t="shared" si="14"/>
        <v>0</v>
      </c>
      <c r="H333" s="1233">
        <f t="shared" si="15"/>
        <v>0</v>
      </c>
      <c r="I333" s="743">
        <f t="shared" si="16"/>
        <v>0</v>
      </c>
      <c r="J333" s="743"/>
      <c r="K333" s="869"/>
      <c r="L333" s="749"/>
      <c r="M333" s="869"/>
      <c r="N333" s="749"/>
      <c r="O333" s="749"/>
    </row>
    <row r="334" spans="3:15">
      <c r="C334" s="739">
        <f>IF(D275="","-",+C333+1)</f>
        <v>2066</v>
      </c>
      <c r="D334" s="691">
        <f t="shared" si="13"/>
        <v>0</v>
      </c>
      <c r="E334" s="746">
        <f t="shared" si="17"/>
        <v>0</v>
      </c>
      <c r="F334" s="691">
        <f t="shared" si="12"/>
        <v>0</v>
      </c>
      <c r="G334" s="1230">
        <f t="shared" si="14"/>
        <v>0</v>
      </c>
      <c r="H334" s="1233">
        <f t="shared" si="15"/>
        <v>0</v>
      </c>
      <c r="I334" s="743">
        <f t="shared" si="16"/>
        <v>0</v>
      </c>
      <c r="J334" s="743"/>
      <c r="K334" s="869"/>
      <c r="L334" s="749"/>
      <c r="M334" s="869"/>
      <c r="N334" s="749"/>
      <c r="O334" s="749"/>
    </row>
    <row r="335" spans="3:15">
      <c r="C335" s="739">
        <f>IF(D275="","-",+C334+1)</f>
        <v>2067</v>
      </c>
      <c r="D335" s="691">
        <f t="shared" si="13"/>
        <v>0</v>
      </c>
      <c r="E335" s="746">
        <f t="shared" si="17"/>
        <v>0</v>
      </c>
      <c r="F335" s="691">
        <f t="shared" si="12"/>
        <v>0</v>
      </c>
      <c r="G335" s="1230">
        <f t="shared" si="14"/>
        <v>0</v>
      </c>
      <c r="H335" s="1233">
        <f t="shared" si="15"/>
        <v>0</v>
      </c>
      <c r="I335" s="743">
        <f t="shared" si="16"/>
        <v>0</v>
      </c>
      <c r="J335" s="743"/>
      <c r="K335" s="869"/>
      <c r="L335" s="749"/>
      <c r="M335" s="869"/>
      <c r="N335" s="749"/>
      <c r="O335" s="749"/>
    </row>
    <row r="336" spans="3:15">
      <c r="C336" s="739">
        <f>IF(D275="","-",+C335+1)</f>
        <v>2068</v>
      </c>
      <c r="D336" s="691">
        <f t="shared" si="13"/>
        <v>0</v>
      </c>
      <c r="E336" s="746">
        <f t="shared" si="17"/>
        <v>0</v>
      </c>
      <c r="F336" s="691">
        <f t="shared" si="12"/>
        <v>0</v>
      </c>
      <c r="G336" s="1230">
        <f t="shared" si="14"/>
        <v>0</v>
      </c>
      <c r="H336" s="1233">
        <f t="shared" si="15"/>
        <v>0</v>
      </c>
      <c r="I336" s="743">
        <f t="shared" si="16"/>
        <v>0</v>
      </c>
      <c r="J336" s="743"/>
      <c r="K336" s="869"/>
      <c r="L336" s="749"/>
      <c r="M336" s="869"/>
      <c r="N336" s="749"/>
      <c r="O336" s="749"/>
    </row>
    <row r="337" spans="1:16">
      <c r="C337" s="739">
        <f>IF(D275="","-",+C336+1)</f>
        <v>2069</v>
      </c>
      <c r="D337" s="691">
        <f t="shared" si="13"/>
        <v>0</v>
      </c>
      <c r="E337" s="746">
        <f t="shared" si="17"/>
        <v>0</v>
      </c>
      <c r="F337" s="691">
        <f t="shared" si="12"/>
        <v>0</v>
      </c>
      <c r="G337" s="1230">
        <f t="shared" si="14"/>
        <v>0</v>
      </c>
      <c r="H337" s="1233">
        <f t="shared" si="15"/>
        <v>0</v>
      </c>
      <c r="I337" s="743">
        <f t="shared" si="16"/>
        <v>0</v>
      </c>
      <c r="J337" s="743"/>
      <c r="K337" s="869"/>
      <c r="L337" s="749"/>
      <c r="M337" s="869"/>
      <c r="N337" s="749"/>
      <c r="O337" s="749"/>
    </row>
    <row r="338" spans="1:16">
      <c r="C338" s="739">
        <f>IF(D275="","-",+C337+1)</f>
        <v>2070</v>
      </c>
      <c r="D338" s="691">
        <f t="shared" si="13"/>
        <v>0</v>
      </c>
      <c r="E338" s="746">
        <f t="shared" si="17"/>
        <v>0</v>
      </c>
      <c r="F338" s="691">
        <f t="shared" si="12"/>
        <v>0</v>
      </c>
      <c r="G338" s="1230">
        <f t="shared" si="14"/>
        <v>0</v>
      </c>
      <c r="H338" s="1233">
        <f t="shared" si="15"/>
        <v>0</v>
      </c>
      <c r="I338" s="743">
        <f t="shared" si="16"/>
        <v>0</v>
      </c>
      <c r="J338" s="743"/>
      <c r="K338" s="869"/>
      <c r="L338" s="749"/>
      <c r="M338" s="869"/>
      <c r="N338" s="749"/>
      <c r="O338" s="749"/>
    </row>
    <row r="339" spans="1:16">
      <c r="C339" s="739">
        <f>IF(D275="","-",+C338+1)</f>
        <v>2071</v>
      </c>
      <c r="D339" s="691">
        <f t="shared" si="13"/>
        <v>0</v>
      </c>
      <c r="E339" s="746">
        <f t="shared" si="17"/>
        <v>0</v>
      </c>
      <c r="F339" s="691">
        <f t="shared" si="12"/>
        <v>0</v>
      </c>
      <c r="G339" s="1230">
        <f t="shared" si="14"/>
        <v>0</v>
      </c>
      <c r="H339" s="1233">
        <f t="shared" si="15"/>
        <v>0</v>
      </c>
      <c r="I339" s="743">
        <f t="shared" si="16"/>
        <v>0</v>
      </c>
      <c r="J339" s="743"/>
      <c r="K339" s="869"/>
      <c r="L339" s="749"/>
      <c r="M339" s="869"/>
      <c r="N339" s="749"/>
      <c r="O339" s="749"/>
    </row>
    <row r="340" spans="1:16" ht="13.5" thickBot="1">
      <c r="C340" s="750">
        <f>IF(D275="","-",+C339+1)</f>
        <v>2072</v>
      </c>
      <c r="D340" s="751">
        <f t="shared" si="13"/>
        <v>0</v>
      </c>
      <c r="E340" s="752">
        <f t="shared" si="17"/>
        <v>0</v>
      </c>
      <c r="F340" s="751">
        <f t="shared" si="12"/>
        <v>0</v>
      </c>
      <c r="G340" s="1241">
        <f t="shared" si="14"/>
        <v>0</v>
      </c>
      <c r="H340" s="1241">
        <f t="shared" si="15"/>
        <v>0</v>
      </c>
      <c r="I340" s="754">
        <f t="shared" si="16"/>
        <v>0</v>
      </c>
      <c r="J340" s="743"/>
      <c r="K340" s="870"/>
      <c r="L340" s="756"/>
      <c r="M340" s="870"/>
      <c r="N340" s="756"/>
      <c r="O340" s="756"/>
    </row>
    <row r="341" spans="1:16">
      <c r="C341" s="691" t="s">
        <v>289</v>
      </c>
      <c r="D341" s="1211"/>
      <c r="E341" s="1211">
        <f>SUM(E281:E340)</f>
        <v>21957101.48</v>
      </c>
      <c r="F341" s="1211"/>
      <c r="G341" s="1211">
        <f>SUM(G281:G340)</f>
        <v>72086509.828379244</v>
      </c>
      <c r="H341" s="1211">
        <f>SUM(H281:H340)</f>
        <v>72086509.828379244</v>
      </c>
      <c r="I341" s="1211">
        <f>SUM(I281:I340)</f>
        <v>0</v>
      </c>
      <c r="J341" s="1211"/>
      <c r="K341" s="1211"/>
      <c r="L341" s="1211"/>
      <c r="M341" s="1211"/>
      <c r="N341" s="1211"/>
      <c r="O341" s="558"/>
    </row>
    <row r="342" spans="1:16">
      <c r="D342" s="581"/>
      <c r="E342" s="558"/>
      <c r="F342" s="558"/>
      <c r="G342" s="558"/>
      <c r="H342" s="1210"/>
      <c r="I342" s="1210"/>
      <c r="J342" s="1211"/>
      <c r="K342" s="1210"/>
      <c r="L342" s="1210"/>
      <c r="M342" s="1210"/>
      <c r="N342" s="1210"/>
      <c r="O342" s="558"/>
    </row>
    <row r="343" spans="1:16">
      <c r="C343" s="1242" t="s">
        <v>926</v>
      </c>
      <c r="D343" s="581"/>
      <c r="E343" s="558"/>
      <c r="F343" s="558"/>
      <c r="G343" s="558"/>
      <c r="H343" s="1210"/>
      <c r="I343" s="1210"/>
      <c r="J343" s="1211"/>
      <c r="K343" s="1210"/>
      <c r="L343" s="1210"/>
      <c r="M343" s="1210"/>
      <c r="N343" s="1210"/>
      <c r="O343" s="558"/>
    </row>
    <row r="344" spans="1:16">
      <c r="D344" s="581"/>
      <c r="E344" s="558"/>
      <c r="F344" s="558"/>
      <c r="G344" s="558"/>
      <c r="H344" s="1210"/>
      <c r="I344" s="1210"/>
      <c r="J344" s="1211"/>
      <c r="K344" s="1210"/>
      <c r="L344" s="1210"/>
      <c r="M344" s="1210"/>
      <c r="N344" s="1210"/>
      <c r="O344" s="558"/>
    </row>
    <row r="345" spans="1:16">
      <c r="C345" s="704" t="s">
        <v>927</v>
      </c>
      <c r="D345" s="691"/>
      <c r="E345" s="691"/>
      <c r="F345" s="691"/>
      <c r="G345" s="1211"/>
      <c r="H345" s="1211"/>
      <c r="I345" s="692"/>
      <c r="J345" s="692"/>
      <c r="K345" s="692"/>
      <c r="L345" s="692"/>
      <c r="M345" s="692"/>
      <c r="N345" s="692"/>
      <c r="O345" s="558"/>
    </row>
    <row r="346" spans="1:16">
      <c r="C346" s="690" t="s">
        <v>477</v>
      </c>
      <c r="D346" s="691"/>
      <c r="E346" s="691"/>
      <c r="F346" s="691"/>
      <c r="G346" s="1211"/>
      <c r="H346" s="1211"/>
      <c r="I346" s="692"/>
      <c r="J346" s="692"/>
      <c r="K346" s="692"/>
      <c r="L346" s="692"/>
      <c r="M346" s="692"/>
      <c r="N346" s="692"/>
      <c r="O346" s="558"/>
    </row>
    <row r="347" spans="1:16">
      <c r="C347" s="690" t="s">
        <v>290</v>
      </c>
      <c r="D347" s="691"/>
      <c r="E347" s="691"/>
      <c r="F347" s="691"/>
      <c r="G347" s="1211"/>
      <c r="H347" s="1211"/>
      <c r="I347" s="692"/>
      <c r="J347" s="692"/>
      <c r="K347" s="692"/>
      <c r="L347" s="692"/>
      <c r="M347" s="692"/>
      <c r="N347" s="692"/>
      <c r="O347" s="558"/>
    </row>
    <row r="348" spans="1:16">
      <c r="C348" s="690"/>
      <c r="D348" s="691"/>
      <c r="E348" s="691"/>
      <c r="F348" s="691"/>
      <c r="G348" s="1211"/>
      <c r="H348" s="1211"/>
      <c r="I348" s="692"/>
      <c r="J348" s="692"/>
      <c r="K348" s="692"/>
      <c r="L348" s="692"/>
      <c r="M348" s="692"/>
      <c r="N348" s="692"/>
      <c r="O348" s="558"/>
    </row>
    <row r="349" spans="1:16">
      <c r="C349" s="1601" t="s">
        <v>461</v>
      </c>
      <c r="D349" s="1601"/>
      <c r="E349" s="1601"/>
      <c r="F349" s="1601"/>
      <c r="G349" s="1601"/>
      <c r="H349" s="1601"/>
      <c r="I349" s="1601"/>
      <c r="J349" s="1601"/>
      <c r="K349" s="1601"/>
      <c r="L349" s="1601"/>
      <c r="M349" s="1601"/>
      <c r="N349" s="1601"/>
      <c r="O349" s="1601"/>
    </row>
    <row r="350" spans="1:16">
      <c r="C350" s="1601"/>
      <c r="D350" s="1601"/>
      <c r="E350" s="1601"/>
      <c r="F350" s="1601"/>
      <c r="G350" s="1601"/>
      <c r="H350" s="1601"/>
      <c r="I350" s="1601"/>
      <c r="J350" s="1601"/>
      <c r="K350" s="1601"/>
      <c r="L350" s="1601"/>
      <c r="M350" s="1601"/>
      <c r="N350" s="1601"/>
      <c r="O350" s="1601"/>
    </row>
    <row r="351" spans="1:16" ht="20.25">
      <c r="A351" s="693" t="s">
        <v>923</v>
      </c>
      <c r="B351" s="594"/>
      <c r="C351" s="673"/>
      <c r="D351" s="581"/>
      <c r="E351" s="558"/>
      <c r="F351" s="663"/>
      <c r="G351" s="558"/>
      <c r="H351" s="1210"/>
      <c r="K351" s="694"/>
      <c r="L351" s="694"/>
      <c r="M351" s="694"/>
      <c r="N351" s="609" t="str">
        <f>"Page "&amp;P1489&amp;" of "</f>
        <v xml:space="preserve">Page  of </v>
      </c>
      <c r="O351" s="610">
        <f>COUNT(P$6:P$59527)</f>
        <v>10</v>
      </c>
      <c r="P351" s="558">
        <v>5</v>
      </c>
    </row>
    <row r="352" spans="1:16">
      <c r="B352" s="594"/>
      <c r="C352" s="558"/>
      <c r="D352" s="581"/>
      <c r="E352" s="558"/>
      <c r="F352" s="558"/>
      <c r="G352" s="558"/>
      <c r="H352" s="1210"/>
      <c r="I352" s="558"/>
      <c r="J352" s="606"/>
      <c r="K352" s="558"/>
      <c r="L352" s="558"/>
      <c r="M352" s="558"/>
      <c r="N352" s="558"/>
      <c r="O352" s="558"/>
    </row>
    <row r="353" spans="1:15" ht="18">
      <c r="B353" s="613" t="s">
        <v>175</v>
      </c>
      <c r="C353" s="695" t="s">
        <v>291</v>
      </c>
      <c r="D353" s="581"/>
      <c r="E353" s="558"/>
      <c r="F353" s="558"/>
      <c r="G353" s="558"/>
      <c r="H353" s="1210"/>
      <c r="I353" s="1210"/>
      <c r="J353" s="1211"/>
      <c r="K353" s="1210"/>
      <c r="L353" s="1210"/>
      <c r="M353" s="1210"/>
      <c r="N353" s="1210"/>
      <c r="O353" s="558"/>
    </row>
    <row r="354" spans="1:15" ht="18.75">
      <c r="B354" s="613"/>
      <c r="C354" s="612"/>
      <c r="D354" s="581"/>
      <c r="E354" s="558"/>
      <c r="F354" s="558"/>
      <c r="G354" s="558"/>
      <c r="H354" s="1210"/>
      <c r="I354" s="1210"/>
      <c r="J354" s="1211"/>
      <c r="K354" s="1210"/>
      <c r="L354" s="1210"/>
      <c r="M354" s="1210"/>
      <c r="N354" s="1210"/>
      <c r="O354" s="558"/>
    </row>
    <row r="355" spans="1:15" ht="18.75">
      <c r="B355" s="613"/>
      <c r="C355" s="612" t="s">
        <v>292</v>
      </c>
      <c r="D355" s="581"/>
      <c r="E355" s="558"/>
      <c r="F355" s="558"/>
      <c r="G355" s="558"/>
      <c r="H355" s="1210"/>
      <c r="I355" s="1210"/>
      <c r="J355" s="1211"/>
      <c r="K355" s="1210"/>
      <c r="L355" s="1210"/>
      <c r="M355" s="1210"/>
      <c r="N355" s="1210"/>
      <c r="O355" s="558"/>
    </row>
    <row r="356" spans="1:15" ht="15.75" thickBot="1">
      <c r="C356" s="411"/>
      <c r="D356" s="581"/>
      <c r="E356" s="558"/>
      <c r="F356" s="558"/>
      <c r="G356" s="558"/>
      <c r="H356" s="1210"/>
      <c r="I356" s="1210"/>
      <c r="J356" s="1211"/>
      <c r="K356" s="1210"/>
      <c r="L356" s="1210"/>
      <c r="M356" s="1210"/>
      <c r="N356" s="1210"/>
      <c r="O356" s="558"/>
    </row>
    <row r="357" spans="1:15" ht="15.75">
      <c r="C357" s="614" t="s">
        <v>293</v>
      </c>
      <c r="D357" s="581"/>
      <c r="E357" s="558"/>
      <c r="F357" s="558"/>
      <c r="G357" s="1212"/>
      <c r="H357" s="558" t="s">
        <v>272</v>
      </c>
      <c r="I357" s="558"/>
      <c r="J357" s="606"/>
      <c r="K357" s="696" t="s">
        <v>297</v>
      </c>
      <c r="L357" s="697"/>
      <c r="M357" s="698"/>
      <c r="N357" s="1213">
        <f>VLOOKUP(I363,C370:O429,5)</f>
        <v>130660.27693898692</v>
      </c>
      <c r="O357" s="558"/>
    </row>
    <row r="358" spans="1:15" ht="15.75">
      <c r="C358" s="614"/>
      <c r="D358" s="581"/>
      <c r="E358" s="558"/>
      <c r="F358" s="558"/>
      <c r="G358" s="558"/>
      <c r="H358" s="1214"/>
      <c r="I358" s="1214"/>
      <c r="J358" s="1215"/>
      <c r="K358" s="701" t="s">
        <v>298</v>
      </c>
      <c r="L358" s="1216"/>
      <c r="M358" s="606"/>
      <c r="N358" s="1217">
        <f>VLOOKUP(I363,C370:O429,6)</f>
        <v>130660.27693898692</v>
      </c>
      <c r="O358" s="558"/>
    </row>
    <row r="359" spans="1:15" ht="13.5" thickBot="1">
      <c r="C359" s="702" t="s">
        <v>294</v>
      </c>
      <c r="D359" s="1610" t="s">
        <v>930</v>
      </c>
      <c r="E359" s="1611"/>
      <c r="F359" s="1611"/>
      <c r="G359" s="1611"/>
      <c r="H359" s="1611"/>
      <c r="I359" s="1611"/>
      <c r="J359" s="1211"/>
      <c r="K359" s="1218" t="s">
        <v>451</v>
      </c>
      <c r="L359" s="1219"/>
      <c r="M359" s="1219"/>
      <c r="N359" s="1220">
        <f>+N358-N357</f>
        <v>0</v>
      </c>
      <c r="O359" s="558"/>
    </row>
    <row r="360" spans="1:15">
      <c r="C360" s="704"/>
      <c r="D360" s="1611"/>
      <c r="E360" s="1611"/>
      <c r="F360" s="1611"/>
      <c r="G360" s="1611"/>
      <c r="H360" s="1611"/>
      <c r="I360" s="1611"/>
      <c r="J360" s="1211"/>
      <c r="K360" s="1210"/>
      <c r="L360" s="1210"/>
      <c r="M360" s="1210"/>
      <c r="N360" s="1210"/>
      <c r="O360" s="558"/>
    </row>
    <row r="361" spans="1:15" ht="13.5" thickBot="1">
      <c r="C361" s="707"/>
      <c r="D361" s="708"/>
      <c r="E361" s="706"/>
      <c r="F361" s="706"/>
      <c r="G361" s="706"/>
      <c r="H361" s="706"/>
      <c r="I361" s="706"/>
      <c r="J361" s="709"/>
      <c r="K361" s="706"/>
      <c r="L361" s="706"/>
      <c r="M361" s="706"/>
      <c r="N361" s="706"/>
      <c r="O361" s="594"/>
    </row>
    <row r="362" spans="1:15" ht="13.5" thickBot="1">
      <c r="C362" s="710" t="s">
        <v>295</v>
      </c>
      <c r="D362" s="711"/>
      <c r="E362" s="711"/>
      <c r="F362" s="711"/>
      <c r="G362" s="711"/>
      <c r="H362" s="711"/>
      <c r="I362" s="712"/>
      <c r="J362" s="713"/>
      <c r="K362" s="558"/>
      <c r="L362" s="558"/>
      <c r="M362" s="558"/>
      <c r="N362" s="558"/>
      <c r="O362" s="714"/>
    </row>
    <row r="363" spans="1:15" ht="15">
      <c r="C363" s="716" t="s">
        <v>273</v>
      </c>
      <c r="D363" s="1221">
        <v>1112262.6599999999</v>
      </c>
      <c r="E363" s="673" t="s">
        <v>274</v>
      </c>
      <c r="G363" s="717"/>
      <c r="H363" s="717"/>
      <c r="I363" s="718">
        <f>I274</f>
        <v>2025</v>
      </c>
      <c r="J363" s="604"/>
      <c r="K363" s="1600" t="s">
        <v>460</v>
      </c>
      <c r="L363" s="1600"/>
      <c r="M363" s="1600"/>
      <c r="N363" s="1600"/>
      <c r="O363" s="1600"/>
    </row>
    <row r="364" spans="1:15">
      <c r="C364" s="716" t="s">
        <v>276</v>
      </c>
      <c r="D364" s="864">
        <v>2016</v>
      </c>
      <c r="E364" s="716" t="s">
        <v>277</v>
      </c>
      <c r="F364" s="717"/>
      <c r="H364" s="345"/>
      <c r="I364" s="867">
        <f>IF(G357="",0,$F$15)</f>
        <v>0</v>
      </c>
      <c r="J364" s="719"/>
      <c r="K364" s="1211" t="s">
        <v>460</v>
      </c>
    </row>
    <row r="365" spans="1:15">
      <c r="C365" s="716" t="s">
        <v>278</v>
      </c>
      <c r="D365" s="1221">
        <v>10</v>
      </c>
      <c r="E365" s="716" t="s">
        <v>279</v>
      </c>
      <c r="F365" s="717"/>
      <c r="H365" s="345"/>
      <c r="I365" s="720">
        <f>$G$70</f>
        <v>0.11808937687765908</v>
      </c>
      <c r="J365" s="721"/>
      <c r="K365" s="345" t="str">
        <f>"          INPUT PROJECTED ARR (WITH &amp; WITHOUT INCENTIVES) FROM EACH PRIOR YEAR"</f>
        <v xml:space="preserve">          INPUT PROJECTED ARR (WITH &amp; WITHOUT INCENTIVES) FROM EACH PRIOR YEAR</v>
      </c>
    </row>
    <row r="366" spans="1:15">
      <c r="C366" s="716" t="s">
        <v>280</v>
      </c>
      <c r="D366" s="722">
        <f>G$79</f>
        <v>38</v>
      </c>
      <c r="E366" s="716" t="s">
        <v>281</v>
      </c>
      <c r="F366" s="717"/>
      <c r="H366" s="345"/>
      <c r="I366" s="720">
        <f>IF(G357="",I365,$G$67)</f>
        <v>0.11808937687765908</v>
      </c>
      <c r="J366" s="723"/>
      <c r="K366" s="345" t="s">
        <v>358</v>
      </c>
    </row>
    <row r="367" spans="1:15" ht="13.5" thickBot="1">
      <c r="C367" s="716" t="s">
        <v>282</v>
      </c>
      <c r="D367" s="866" t="s">
        <v>925</v>
      </c>
      <c r="E367" s="724" t="s">
        <v>283</v>
      </c>
      <c r="F367" s="725"/>
      <c r="G367" s="726"/>
      <c r="H367" s="726"/>
      <c r="I367" s="1220">
        <f>IF(D363=0,0,D363/D366)</f>
        <v>29270.069999999996</v>
      </c>
      <c r="J367" s="1211"/>
      <c r="K367" s="1211" t="s">
        <v>364</v>
      </c>
      <c r="L367" s="1211"/>
      <c r="M367" s="1211"/>
      <c r="N367" s="1211"/>
      <c r="O367" s="606"/>
    </row>
    <row r="368" spans="1:15" ht="51">
      <c r="A368" s="545"/>
      <c r="B368" s="1222"/>
      <c r="C368" s="727" t="s">
        <v>273</v>
      </c>
      <c r="D368" s="1223" t="s">
        <v>284</v>
      </c>
      <c r="E368" s="1224" t="s">
        <v>285</v>
      </c>
      <c r="F368" s="1223" t="s">
        <v>286</v>
      </c>
      <c r="G368" s="1224" t="s">
        <v>357</v>
      </c>
      <c r="H368" s="1225" t="s">
        <v>357</v>
      </c>
      <c r="I368" s="727" t="s">
        <v>296</v>
      </c>
      <c r="J368" s="731"/>
      <c r="K368" s="1224" t="s">
        <v>366</v>
      </c>
      <c r="L368" s="1226"/>
      <c r="M368" s="1224" t="s">
        <v>366</v>
      </c>
      <c r="N368" s="1226"/>
      <c r="O368" s="1226"/>
    </row>
    <row r="369" spans="3:15" ht="13.5" thickBot="1">
      <c r="C369" s="733" t="s">
        <v>178</v>
      </c>
      <c r="D369" s="734" t="s">
        <v>179</v>
      </c>
      <c r="E369" s="733" t="s">
        <v>38</v>
      </c>
      <c r="F369" s="734" t="s">
        <v>179</v>
      </c>
      <c r="G369" s="1227" t="s">
        <v>299</v>
      </c>
      <c r="H369" s="1228" t="s">
        <v>301</v>
      </c>
      <c r="I369" s="737" t="s">
        <v>390</v>
      </c>
      <c r="J369" s="738"/>
      <c r="K369" s="1227" t="s">
        <v>288</v>
      </c>
      <c r="L369" s="1229"/>
      <c r="M369" s="1227" t="s">
        <v>301</v>
      </c>
      <c r="N369" s="1229"/>
      <c r="O369" s="1229"/>
    </row>
    <row r="370" spans="3:15">
      <c r="C370" s="739">
        <f>IF(D364= "","-",D364)</f>
        <v>2016</v>
      </c>
      <c r="D370" s="691">
        <f>+D363</f>
        <v>1112262.6599999999</v>
      </c>
      <c r="E370" s="1230">
        <f>+I367/12*(12-D365)</f>
        <v>4878.3449999999993</v>
      </c>
      <c r="F370" s="691">
        <f t="shared" ref="F370:F429" si="18">+D370-E370</f>
        <v>1107384.3149999999</v>
      </c>
      <c r="G370" s="1231">
        <f>+$I$365*((D370+F370)/2)+E370</f>
        <v>135936.70908306542</v>
      </c>
      <c r="H370" s="1232">
        <f>+$I$366*((D370+F370)/2)+E370</f>
        <v>135936.70908306542</v>
      </c>
      <c r="I370" s="743">
        <f>+H370-G370</f>
        <v>0</v>
      </c>
      <c r="J370" s="743"/>
      <c r="K370" s="869">
        <v>226163</v>
      </c>
      <c r="L370" s="745"/>
      <c r="M370" s="869">
        <v>226163</v>
      </c>
      <c r="N370" s="745"/>
      <c r="O370" s="745"/>
    </row>
    <row r="371" spans="3:15">
      <c r="C371" s="739">
        <f>IF(D364="","-",+C370+1)</f>
        <v>2017</v>
      </c>
      <c r="D371" s="691">
        <f t="shared" ref="D371:D429" si="19">F370</f>
        <v>1107384.3149999999</v>
      </c>
      <c r="E371" s="746">
        <f>IF(D371&gt;$I$367,$I$367,D371)</f>
        <v>29270.069999999996</v>
      </c>
      <c r="F371" s="691">
        <f t="shared" si="18"/>
        <v>1078114.2449999999</v>
      </c>
      <c r="G371" s="1230">
        <f t="shared" ref="G371:G429" si="20">+$I$365*((D371+F371)/2)+E371</f>
        <v>158312.15155871058</v>
      </c>
      <c r="H371" s="1233">
        <f t="shared" ref="H371:H429" si="21">+$I$366*((D371+F371)/2)+E371</f>
        <v>158312.15155871058</v>
      </c>
      <c r="I371" s="743">
        <f t="shared" ref="I371:I429" si="22">+H371-G371</f>
        <v>0</v>
      </c>
      <c r="J371" s="743"/>
      <c r="K371" s="869">
        <v>7946</v>
      </c>
      <c r="L371" s="749"/>
      <c r="M371" s="869">
        <v>7946</v>
      </c>
      <c r="N371" s="749"/>
      <c r="O371" s="749"/>
    </row>
    <row r="372" spans="3:15">
      <c r="C372" s="1247">
        <f>IF(D364="","-",+C371+1)</f>
        <v>2018</v>
      </c>
      <c r="D372" s="1235">
        <f t="shared" si="19"/>
        <v>1078114.2449999999</v>
      </c>
      <c r="E372" s="1236">
        <f t="shared" ref="E372:E429" si="23">IF(D372&gt;$I$367,$I$367,D372)</f>
        <v>29270.069999999996</v>
      </c>
      <c r="F372" s="1235">
        <f t="shared" si="18"/>
        <v>1048844.1749999998</v>
      </c>
      <c r="G372" s="1237">
        <f t="shared" si="20"/>
        <v>154855.66723124514</v>
      </c>
      <c r="H372" s="1238">
        <f t="shared" si="21"/>
        <v>154855.66723124514</v>
      </c>
      <c r="I372" s="1239">
        <f t="shared" si="22"/>
        <v>0</v>
      </c>
      <c r="J372" s="743"/>
      <c r="K372" s="869">
        <v>18182</v>
      </c>
      <c r="L372" s="749"/>
      <c r="M372" s="869">
        <v>18182</v>
      </c>
      <c r="N372" s="749"/>
      <c r="O372" s="749"/>
    </row>
    <row r="373" spans="3:15">
      <c r="C373" s="739">
        <f>IF(D364="","-",+C372+1)</f>
        <v>2019</v>
      </c>
      <c r="D373" s="691">
        <f t="shared" si="19"/>
        <v>1048844.1749999998</v>
      </c>
      <c r="E373" s="746">
        <f t="shared" si="23"/>
        <v>29270.069999999996</v>
      </c>
      <c r="F373" s="691">
        <f t="shared" si="18"/>
        <v>1019574.1049999999</v>
      </c>
      <c r="G373" s="1230">
        <f t="shared" si="20"/>
        <v>151399.18290377967</v>
      </c>
      <c r="H373" s="1233">
        <f t="shared" si="21"/>
        <v>151399.18290377967</v>
      </c>
      <c r="I373" s="743">
        <f t="shared" si="22"/>
        <v>0</v>
      </c>
      <c r="J373" s="743"/>
      <c r="K373" s="869">
        <v>125630.51777107318</v>
      </c>
      <c r="L373" s="749"/>
      <c r="M373" s="869">
        <v>125630.51777107318</v>
      </c>
      <c r="N373" s="749"/>
      <c r="O373" s="749"/>
    </row>
    <row r="374" spans="3:15">
      <c r="C374" s="739">
        <f>IF(D364="","-",+C373+1)</f>
        <v>2020</v>
      </c>
      <c r="D374" s="691">
        <f t="shared" si="19"/>
        <v>1019574.1049999999</v>
      </c>
      <c r="E374" s="746">
        <f t="shared" si="23"/>
        <v>29270.069999999996</v>
      </c>
      <c r="F374" s="691">
        <f t="shared" si="18"/>
        <v>990304.03499999992</v>
      </c>
      <c r="G374" s="1230">
        <f t="shared" si="20"/>
        <v>147942.6985763142</v>
      </c>
      <c r="H374" s="1233">
        <f t="shared" si="21"/>
        <v>147942.6985763142</v>
      </c>
      <c r="I374" s="743">
        <f t="shared" si="22"/>
        <v>0</v>
      </c>
      <c r="J374" s="743"/>
      <c r="K374" s="869">
        <v>125733.2854472154</v>
      </c>
      <c r="L374" s="749"/>
      <c r="M374" s="869">
        <v>125733.2854472154</v>
      </c>
      <c r="N374" s="749"/>
      <c r="O374" s="749"/>
    </row>
    <row r="375" spans="3:15">
      <c r="C375" s="739">
        <f>IF(D364="","-",+C374+1)</f>
        <v>2021</v>
      </c>
      <c r="D375" s="691">
        <f t="shared" si="19"/>
        <v>990304.03499999992</v>
      </c>
      <c r="E375" s="746">
        <f t="shared" si="23"/>
        <v>29270.069999999996</v>
      </c>
      <c r="F375" s="691">
        <f t="shared" si="18"/>
        <v>961033.96499999997</v>
      </c>
      <c r="G375" s="1230">
        <f t="shared" si="20"/>
        <v>144486.21424884876</v>
      </c>
      <c r="H375" s="1233">
        <f t="shared" si="21"/>
        <v>144486.21424884876</v>
      </c>
      <c r="I375" s="743">
        <f t="shared" si="22"/>
        <v>0</v>
      </c>
      <c r="J375" s="743"/>
      <c r="K375" s="869">
        <v>124826.21130812721</v>
      </c>
      <c r="L375" s="749"/>
      <c r="M375" s="869">
        <v>124826.21130812721</v>
      </c>
      <c r="N375" s="749"/>
      <c r="O375" s="749"/>
    </row>
    <row r="376" spans="3:15">
      <c r="C376" s="739">
        <f>IF(D364="","-",+C375+1)</f>
        <v>2022</v>
      </c>
      <c r="D376" s="691">
        <f t="shared" si="19"/>
        <v>961033.96499999997</v>
      </c>
      <c r="E376" s="746">
        <f t="shared" si="23"/>
        <v>29270.069999999996</v>
      </c>
      <c r="F376" s="691">
        <f t="shared" si="18"/>
        <v>931763.89500000002</v>
      </c>
      <c r="G376" s="1230">
        <f t="shared" si="20"/>
        <v>141029.72992138329</v>
      </c>
      <c r="H376" s="1233">
        <f t="shared" si="21"/>
        <v>141029.72992138329</v>
      </c>
      <c r="I376" s="743">
        <f t="shared" si="22"/>
        <v>0</v>
      </c>
      <c r="J376" s="743"/>
      <c r="K376" s="869">
        <v>127071.64259540786</v>
      </c>
      <c r="L376" s="749"/>
      <c r="M376" s="869">
        <v>127071.64259540786</v>
      </c>
      <c r="N376" s="749"/>
      <c r="O376" s="749"/>
    </row>
    <row r="377" spans="3:15">
      <c r="C377" s="739">
        <f>IF(D364="","-",+C376+1)</f>
        <v>2023</v>
      </c>
      <c r="D377" s="691">
        <f t="shared" si="19"/>
        <v>931763.89500000002</v>
      </c>
      <c r="E377" s="746">
        <f t="shared" si="23"/>
        <v>29270.069999999996</v>
      </c>
      <c r="F377" s="691">
        <f t="shared" si="18"/>
        <v>902493.82500000007</v>
      </c>
      <c r="G377" s="1230">
        <f t="shared" si="20"/>
        <v>137573.24559391785</v>
      </c>
      <c r="H377" s="1233">
        <f t="shared" si="21"/>
        <v>137573.24559391785</v>
      </c>
      <c r="I377" s="743">
        <f t="shared" si="22"/>
        <v>0</v>
      </c>
      <c r="J377" s="743"/>
      <c r="K377" s="869">
        <v>135239.31019570923</v>
      </c>
      <c r="L377" s="749"/>
      <c r="M377" s="869">
        <v>135239.31019570923</v>
      </c>
      <c r="N377" s="749"/>
      <c r="O377" s="749"/>
    </row>
    <row r="378" spans="3:15">
      <c r="C378" s="739">
        <f>IF(D364="","-",+C377+1)</f>
        <v>2024</v>
      </c>
      <c r="D378" s="691">
        <f t="shared" si="19"/>
        <v>902493.82500000007</v>
      </c>
      <c r="E378" s="746">
        <f t="shared" si="23"/>
        <v>29270.069999999996</v>
      </c>
      <c r="F378" s="691">
        <f t="shared" si="18"/>
        <v>873223.75500000012</v>
      </c>
      <c r="G378" s="1230">
        <f t="shared" si="20"/>
        <v>134116.76126645238</v>
      </c>
      <c r="H378" s="1233">
        <f t="shared" si="21"/>
        <v>134116.76126645238</v>
      </c>
      <c r="I378" s="743">
        <f t="shared" si="22"/>
        <v>0</v>
      </c>
      <c r="J378" s="743"/>
      <c r="K378" s="869">
        <v>136431.19834484026</v>
      </c>
      <c r="L378" s="749"/>
      <c r="M378" s="869">
        <v>136431.19834484026</v>
      </c>
      <c r="N378" s="749"/>
      <c r="O378" s="749"/>
    </row>
    <row r="379" spans="3:15">
      <c r="C379" s="739">
        <f>IF(D364="","-",+C378+1)</f>
        <v>2025</v>
      </c>
      <c r="D379" s="691">
        <f t="shared" si="19"/>
        <v>873223.75500000012</v>
      </c>
      <c r="E379" s="746">
        <f t="shared" si="23"/>
        <v>29270.069999999996</v>
      </c>
      <c r="F379" s="691">
        <f t="shared" si="18"/>
        <v>843953.68500000017</v>
      </c>
      <c r="G379" s="1230">
        <f t="shared" si="20"/>
        <v>130660.27693898692</v>
      </c>
      <c r="H379" s="1233">
        <f t="shared" si="21"/>
        <v>130660.27693898692</v>
      </c>
      <c r="I379" s="743">
        <f t="shared" si="22"/>
        <v>0</v>
      </c>
      <c r="J379" s="743"/>
      <c r="K379" s="869"/>
      <c r="L379" s="749"/>
      <c r="M379" s="869"/>
      <c r="N379" s="749"/>
      <c r="O379" s="749"/>
    </row>
    <row r="380" spans="3:15">
      <c r="C380" s="739">
        <f>IF(D364="","-",+C379+1)</f>
        <v>2026</v>
      </c>
      <c r="D380" s="691">
        <f t="shared" si="19"/>
        <v>843953.68500000017</v>
      </c>
      <c r="E380" s="746">
        <f t="shared" si="23"/>
        <v>29270.069999999996</v>
      </c>
      <c r="F380" s="691">
        <f t="shared" si="18"/>
        <v>814683.61500000022</v>
      </c>
      <c r="G380" s="1230">
        <f t="shared" si="20"/>
        <v>127203.79261152145</v>
      </c>
      <c r="H380" s="1233">
        <f t="shared" si="21"/>
        <v>127203.79261152145</v>
      </c>
      <c r="I380" s="743">
        <f t="shared" si="22"/>
        <v>0</v>
      </c>
      <c r="J380" s="743"/>
      <c r="K380" s="869"/>
      <c r="L380" s="749"/>
      <c r="M380" s="869"/>
      <c r="N380" s="749"/>
      <c r="O380" s="749"/>
    </row>
    <row r="381" spans="3:15">
      <c r="C381" s="739">
        <f>IF(D364="","-",+C380+1)</f>
        <v>2027</v>
      </c>
      <c r="D381" s="691">
        <f t="shared" si="19"/>
        <v>814683.61500000022</v>
      </c>
      <c r="E381" s="746">
        <f t="shared" si="23"/>
        <v>29270.069999999996</v>
      </c>
      <c r="F381" s="691">
        <f t="shared" si="18"/>
        <v>785413.54500000027</v>
      </c>
      <c r="G381" s="1230">
        <f t="shared" si="20"/>
        <v>123747.30828405601</v>
      </c>
      <c r="H381" s="1233">
        <f t="shared" si="21"/>
        <v>123747.30828405601</v>
      </c>
      <c r="I381" s="743">
        <f t="shared" si="22"/>
        <v>0</v>
      </c>
      <c r="J381" s="743"/>
      <c r="K381" s="869"/>
      <c r="L381" s="749"/>
      <c r="M381" s="869"/>
      <c r="N381" s="749"/>
      <c r="O381" s="749"/>
    </row>
    <row r="382" spans="3:15">
      <c r="C382" s="739">
        <f>IF(D364="","-",+C381+1)</f>
        <v>2028</v>
      </c>
      <c r="D382" s="691">
        <f t="shared" si="19"/>
        <v>785413.54500000027</v>
      </c>
      <c r="E382" s="746">
        <f t="shared" si="23"/>
        <v>29270.069999999996</v>
      </c>
      <c r="F382" s="691">
        <f t="shared" si="18"/>
        <v>756143.47500000033</v>
      </c>
      <c r="G382" s="1230">
        <f t="shared" si="20"/>
        <v>120290.82395659054</v>
      </c>
      <c r="H382" s="1233">
        <f t="shared" si="21"/>
        <v>120290.82395659054</v>
      </c>
      <c r="I382" s="743">
        <f t="shared" si="22"/>
        <v>0</v>
      </c>
      <c r="J382" s="743"/>
      <c r="K382" s="869"/>
      <c r="L382" s="749"/>
      <c r="M382" s="869"/>
      <c r="N382" s="749"/>
      <c r="O382" s="749"/>
    </row>
    <row r="383" spans="3:15">
      <c r="C383" s="739">
        <f>IF(D364="","-",+C382+1)</f>
        <v>2029</v>
      </c>
      <c r="D383" s="691">
        <f t="shared" si="19"/>
        <v>756143.47500000033</v>
      </c>
      <c r="E383" s="746">
        <f t="shared" si="23"/>
        <v>29270.069999999996</v>
      </c>
      <c r="F383" s="691">
        <f t="shared" si="18"/>
        <v>726873.40500000038</v>
      </c>
      <c r="G383" s="1230">
        <f t="shared" si="20"/>
        <v>116834.3396291251</v>
      </c>
      <c r="H383" s="1233">
        <f t="shared" si="21"/>
        <v>116834.3396291251</v>
      </c>
      <c r="I383" s="743">
        <f t="shared" si="22"/>
        <v>0</v>
      </c>
      <c r="J383" s="743"/>
      <c r="K383" s="869"/>
      <c r="L383" s="749"/>
      <c r="M383" s="869"/>
      <c r="N383" s="749"/>
      <c r="O383" s="749"/>
    </row>
    <row r="384" spans="3:15">
      <c r="C384" s="739">
        <f>IF(D364="","-",+C383+1)</f>
        <v>2030</v>
      </c>
      <c r="D384" s="691">
        <f t="shared" si="19"/>
        <v>726873.40500000038</v>
      </c>
      <c r="E384" s="746">
        <f t="shared" si="23"/>
        <v>29270.069999999996</v>
      </c>
      <c r="F384" s="691">
        <f t="shared" si="18"/>
        <v>697603.33500000043</v>
      </c>
      <c r="G384" s="1230">
        <f t="shared" si="20"/>
        <v>113377.85530165963</v>
      </c>
      <c r="H384" s="1233">
        <f t="shared" si="21"/>
        <v>113377.85530165963</v>
      </c>
      <c r="I384" s="743">
        <f t="shared" si="22"/>
        <v>0</v>
      </c>
      <c r="J384" s="743"/>
      <c r="K384" s="869"/>
      <c r="L384" s="749"/>
      <c r="M384" s="869"/>
      <c r="N384" s="749"/>
      <c r="O384" s="749"/>
    </row>
    <row r="385" spans="3:15">
      <c r="C385" s="739">
        <f>IF(D364="","-",+C384+1)</f>
        <v>2031</v>
      </c>
      <c r="D385" s="691">
        <f t="shared" si="19"/>
        <v>697603.33500000043</v>
      </c>
      <c r="E385" s="746">
        <f t="shared" si="23"/>
        <v>29270.069999999996</v>
      </c>
      <c r="F385" s="691">
        <f t="shared" si="18"/>
        <v>668333.26500000048</v>
      </c>
      <c r="G385" s="1230">
        <f t="shared" si="20"/>
        <v>109921.37097419419</v>
      </c>
      <c r="H385" s="1233">
        <f t="shared" si="21"/>
        <v>109921.37097419419</v>
      </c>
      <c r="I385" s="743">
        <f t="shared" si="22"/>
        <v>0</v>
      </c>
      <c r="J385" s="743"/>
      <c r="K385" s="869"/>
      <c r="L385" s="749"/>
      <c r="M385" s="869"/>
      <c r="N385" s="749"/>
      <c r="O385" s="749"/>
    </row>
    <row r="386" spans="3:15">
      <c r="C386" s="739">
        <f>IF(D364="","-",+C385+1)</f>
        <v>2032</v>
      </c>
      <c r="D386" s="691">
        <f t="shared" si="19"/>
        <v>668333.26500000048</v>
      </c>
      <c r="E386" s="746">
        <f t="shared" si="23"/>
        <v>29270.069999999996</v>
      </c>
      <c r="F386" s="691">
        <f t="shared" si="18"/>
        <v>639063.19500000053</v>
      </c>
      <c r="G386" s="1230">
        <f t="shared" si="20"/>
        <v>106464.88664672872</v>
      </c>
      <c r="H386" s="1233">
        <f t="shared" si="21"/>
        <v>106464.88664672872</v>
      </c>
      <c r="I386" s="743">
        <f t="shared" si="22"/>
        <v>0</v>
      </c>
      <c r="J386" s="743"/>
      <c r="K386" s="869"/>
      <c r="L386" s="749"/>
      <c r="M386" s="869"/>
      <c r="N386" s="749"/>
      <c r="O386" s="749"/>
    </row>
    <row r="387" spans="3:15">
      <c r="C387" s="739">
        <f>IF(D364="","-",+C386+1)</f>
        <v>2033</v>
      </c>
      <c r="D387" s="691">
        <f t="shared" si="19"/>
        <v>639063.19500000053</v>
      </c>
      <c r="E387" s="746">
        <f t="shared" si="23"/>
        <v>29270.069999999996</v>
      </c>
      <c r="F387" s="691">
        <f t="shared" si="18"/>
        <v>609793.12500000058</v>
      </c>
      <c r="G387" s="1230">
        <f t="shared" si="20"/>
        <v>103008.40231926327</v>
      </c>
      <c r="H387" s="1233">
        <f t="shared" si="21"/>
        <v>103008.40231926327</v>
      </c>
      <c r="I387" s="743">
        <f t="shared" si="22"/>
        <v>0</v>
      </c>
      <c r="J387" s="743"/>
      <c r="K387" s="869"/>
      <c r="L387" s="749"/>
      <c r="M387" s="869"/>
      <c r="N387" s="749"/>
      <c r="O387" s="749"/>
    </row>
    <row r="388" spans="3:15">
      <c r="C388" s="739">
        <f>IF(D364="","-",+C387+1)</f>
        <v>2034</v>
      </c>
      <c r="D388" s="691">
        <f t="shared" si="19"/>
        <v>609793.12500000058</v>
      </c>
      <c r="E388" s="746">
        <f t="shared" si="23"/>
        <v>29270.069999999996</v>
      </c>
      <c r="F388" s="691">
        <f t="shared" si="18"/>
        <v>580523.05500000063</v>
      </c>
      <c r="G388" s="1230">
        <f t="shared" si="20"/>
        <v>99551.917991797804</v>
      </c>
      <c r="H388" s="1233">
        <f t="shared" si="21"/>
        <v>99551.917991797804</v>
      </c>
      <c r="I388" s="743">
        <f t="shared" si="22"/>
        <v>0</v>
      </c>
      <c r="J388" s="743"/>
      <c r="K388" s="869"/>
      <c r="L388" s="749"/>
      <c r="M388" s="869"/>
      <c r="N388" s="749"/>
      <c r="O388" s="749"/>
    </row>
    <row r="389" spans="3:15">
      <c r="C389" s="739">
        <f>IF(D364="","-",+C388+1)</f>
        <v>2035</v>
      </c>
      <c r="D389" s="691">
        <f t="shared" si="19"/>
        <v>580523.05500000063</v>
      </c>
      <c r="E389" s="746">
        <f t="shared" si="23"/>
        <v>29270.069999999996</v>
      </c>
      <c r="F389" s="691">
        <f t="shared" si="18"/>
        <v>551252.98500000068</v>
      </c>
      <c r="G389" s="1230">
        <f t="shared" si="20"/>
        <v>96095.433664332362</v>
      </c>
      <c r="H389" s="1233">
        <f t="shared" si="21"/>
        <v>96095.433664332362</v>
      </c>
      <c r="I389" s="743">
        <f t="shared" si="22"/>
        <v>0</v>
      </c>
      <c r="J389" s="743"/>
      <c r="K389" s="869"/>
      <c r="L389" s="749"/>
      <c r="M389" s="869"/>
      <c r="N389" s="749"/>
      <c r="O389" s="749"/>
    </row>
    <row r="390" spans="3:15">
      <c r="C390" s="739">
        <f>IF(D364="","-",+C389+1)</f>
        <v>2036</v>
      </c>
      <c r="D390" s="691">
        <f t="shared" si="19"/>
        <v>551252.98500000068</v>
      </c>
      <c r="E390" s="746">
        <f t="shared" si="23"/>
        <v>29270.069999999996</v>
      </c>
      <c r="F390" s="691">
        <f t="shared" si="18"/>
        <v>521982.91500000068</v>
      </c>
      <c r="G390" s="1230">
        <f t="shared" si="20"/>
        <v>92638.949336866892</v>
      </c>
      <c r="H390" s="1233">
        <f t="shared" si="21"/>
        <v>92638.949336866892</v>
      </c>
      <c r="I390" s="743">
        <f t="shared" si="22"/>
        <v>0</v>
      </c>
      <c r="J390" s="743"/>
      <c r="K390" s="869"/>
      <c r="L390" s="749"/>
      <c r="M390" s="869"/>
      <c r="N390" s="749"/>
      <c r="O390" s="749"/>
    </row>
    <row r="391" spans="3:15">
      <c r="C391" s="739">
        <f>IF(D364="","-",+C390+1)</f>
        <v>2037</v>
      </c>
      <c r="D391" s="691">
        <f t="shared" si="19"/>
        <v>521982.91500000068</v>
      </c>
      <c r="E391" s="746">
        <f t="shared" si="23"/>
        <v>29270.069999999996</v>
      </c>
      <c r="F391" s="691">
        <f t="shared" si="18"/>
        <v>492712.84500000067</v>
      </c>
      <c r="G391" s="1230">
        <f t="shared" si="20"/>
        <v>89182.465009401436</v>
      </c>
      <c r="H391" s="1233">
        <f t="shared" si="21"/>
        <v>89182.465009401436</v>
      </c>
      <c r="I391" s="743">
        <f t="shared" si="22"/>
        <v>0</v>
      </c>
      <c r="J391" s="743"/>
      <c r="K391" s="869"/>
      <c r="L391" s="749"/>
      <c r="M391" s="869"/>
      <c r="N391" s="749"/>
      <c r="O391" s="749"/>
    </row>
    <row r="392" spans="3:15">
      <c r="C392" s="739">
        <f>IF(D364="","-",+C391+1)</f>
        <v>2038</v>
      </c>
      <c r="D392" s="691">
        <f t="shared" si="19"/>
        <v>492712.84500000067</v>
      </c>
      <c r="E392" s="746">
        <f t="shared" si="23"/>
        <v>29270.069999999996</v>
      </c>
      <c r="F392" s="691">
        <f t="shared" si="18"/>
        <v>463442.77500000066</v>
      </c>
      <c r="G392" s="1230">
        <f t="shared" si="20"/>
        <v>85725.980681935966</v>
      </c>
      <c r="H392" s="1233">
        <f t="shared" si="21"/>
        <v>85725.980681935966</v>
      </c>
      <c r="I392" s="743">
        <f t="shared" si="22"/>
        <v>0</v>
      </c>
      <c r="J392" s="743"/>
      <c r="K392" s="869"/>
      <c r="L392" s="749"/>
      <c r="M392" s="869"/>
      <c r="N392" s="749"/>
      <c r="O392" s="749"/>
    </row>
    <row r="393" spans="3:15">
      <c r="C393" s="739">
        <f>IF(D364="","-",+C392+1)</f>
        <v>2039</v>
      </c>
      <c r="D393" s="691">
        <f t="shared" si="19"/>
        <v>463442.77500000066</v>
      </c>
      <c r="E393" s="746">
        <f t="shared" si="23"/>
        <v>29270.069999999996</v>
      </c>
      <c r="F393" s="691">
        <f t="shared" si="18"/>
        <v>434172.70500000066</v>
      </c>
      <c r="G393" s="1230">
        <f t="shared" si="20"/>
        <v>82269.49635447051</v>
      </c>
      <c r="H393" s="1233">
        <f t="shared" si="21"/>
        <v>82269.49635447051</v>
      </c>
      <c r="I393" s="743">
        <f t="shared" si="22"/>
        <v>0</v>
      </c>
      <c r="J393" s="743"/>
      <c r="K393" s="869"/>
      <c r="L393" s="749"/>
      <c r="M393" s="869"/>
      <c r="N393" s="749"/>
      <c r="O393" s="749"/>
    </row>
    <row r="394" spans="3:15">
      <c r="C394" s="739">
        <f>IF(D364="","-",+C393+1)</f>
        <v>2040</v>
      </c>
      <c r="D394" s="691">
        <f t="shared" si="19"/>
        <v>434172.70500000066</v>
      </c>
      <c r="E394" s="746">
        <f t="shared" si="23"/>
        <v>29270.069999999996</v>
      </c>
      <c r="F394" s="691">
        <f t="shared" si="18"/>
        <v>404902.63500000065</v>
      </c>
      <c r="G394" s="1230">
        <f t="shared" si="20"/>
        <v>78813.012027005039</v>
      </c>
      <c r="H394" s="1233">
        <f t="shared" si="21"/>
        <v>78813.012027005039</v>
      </c>
      <c r="I394" s="743">
        <f t="shared" si="22"/>
        <v>0</v>
      </c>
      <c r="J394" s="743"/>
      <c r="K394" s="869"/>
      <c r="L394" s="749"/>
      <c r="M394" s="869"/>
      <c r="N394" s="749"/>
      <c r="O394" s="749"/>
    </row>
    <row r="395" spans="3:15">
      <c r="C395" s="739">
        <f>IF(D364="","-",+C394+1)</f>
        <v>2041</v>
      </c>
      <c r="D395" s="691">
        <f t="shared" si="19"/>
        <v>404902.63500000065</v>
      </c>
      <c r="E395" s="746">
        <f t="shared" si="23"/>
        <v>29270.069999999996</v>
      </c>
      <c r="F395" s="691">
        <f t="shared" si="18"/>
        <v>375632.56500000064</v>
      </c>
      <c r="G395" s="1230">
        <f t="shared" si="20"/>
        <v>75356.527699539583</v>
      </c>
      <c r="H395" s="1233">
        <f t="shared" si="21"/>
        <v>75356.527699539583</v>
      </c>
      <c r="I395" s="743">
        <f t="shared" si="22"/>
        <v>0</v>
      </c>
      <c r="J395" s="743"/>
      <c r="K395" s="869"/>
      <c r="L395" s="749"/>
      <c r="M395" s="869"/>
      <c r="N395" s="749"/>
      <c r="O395" s="749"/>
    </row>
    <row r="396" spans="3:15">
      <c r="C396" s="739">
        <f>IF(D364="","-",+C395+1)</f>
        <v>2042</v>
      </c>
      <c r="D396" s="691">
        <f t="shared" si="19"/>
        <v>375632.56500000064</v>
      </c>
      <c r="E396" s="746">
        <f t="shared" si="23"/>
        <v>29270.069999999996</v>
      </c>
      <c r="F396" s="691">
        <f t="shared" si="18"/>
        <v>346362.49500000064</v>
      </c>
      <c r="G396" s="1230">
        <f t="shared" si="20"/>
        <v>71900.043372074113</v>
      </c>
      <c r="H396" s="1233">
        <f t="shared" si="21"/>
        <v>71900.043372074113</v>
      </c>
      <c r="I396" s="743">
        <f t="shared" si="22"/>
        <v>0</v>
      </c>
      <c r="J396" s="743"/>
      <c r="K396" s="869"/>
      <c r="L396" s="749"/>
      <c r="M396" s="869"/>
      <c r="N396" s="749"/>
      <c r="O396" s="749"/>
    </row>
    <row r="397" spans="3:15">
      <c r="C397" s="739">
        <f>IF(D364="","-",+C396+1)</f>
        <v>2043</v>
      </c>
      <c r="D397" s="691">
        <f t="shared" si="19"/>
        <v>346362.49500000064</v>
      </c>
      <c r="E397" s="746">
        <f t="shared" si="23"/>
        <v>29270.069999999996</v>
      </c>
      <c r="F397" s="691">
        <f t="shared" si="18"/>
        <v>317092.42500000063</v>
      </c>
      <c r="G397" s="1230">
        <f t="shared" si="20"/>
        <v>68443.559044608657</v>
      </c>
      <c r="H397" s="1233">
        <f t="shared" si="21"/>
        <v>68443.559044608657</v>
      </c>
      <c r="I397" s="743">
        <f t="shared" si="22"/>
        <v>0</v>
      </c>
      <c r="J397" s="743"/>
      <c r="K397" s="869"/>
      <c r="L397" s="749"/>
      <c r="M397" s="869"/>
      <c r="N397" s="749"/>
      <c r="O397" s="749"/>
    </row>
    <row r="398" spans="3:15">
      <c r="C398" s="739">
        <f>IF(D364="","-",+C397+1)</f>
        <v>2044</v>
      </c>
      <c r="D398" s="691">
        <f t="shared" si="19"/>
        <v>317092.42500000063</v>
      </c>
      <c r="E398" s="746">
        <f t="shared" si="23"/>
        <v>29270.069999999996</v>
      </c>
      <c r="F398" s="691">
        <f t="shared" si="18"/>
        <v>287822.35500000062</v>
      </c>
      <c r="G398" s="1240">
        <f t="shared" si="20"/>
        <v>64987.074717143187</v>
      </c>
      <c r="H398" s="1233">
        <f t="shared" si="21"/>
        <v>64987.074717143187</v>
      </c>
      <c r="I398" s="743">
        <f t="shared" si="22"/>
        <v>0</v>
      </c>
      <c r="J398" s="743"/>
      <c r="K398" s="869"/>
      <c r="L398" s="749"/>
      <c r="M398" s="869"/>
      <c r="N398" s="749"/>
      <c r="O398" s="749"/>
    </row>
    <row r="399" spans="3:15">
      <c r="C399" s="739">
        <f>IF(D364="","-",+C398+1)</f>
        <v>2045</v>
      </c>
      <c r="D399" s="691">
        <f t="shared" si="19"/>
        <v>287822.35500000062</v>
      </c>
      <c r="E399" s="746">
        <f t="shared" si="23"/>
        <v>29270.069999999996</v>
      </c>
      <c r="F399" s="691">
        <f t="shared" si="18"/>
        <v>258552.28500000061</v>
      </c>
      <c r="G399" s="1230">
        <f t="shared" si="20"/>
        <v>61530.590389677724</v>
      </c>
      <c r="H399" s="1233">
        <f t="shared" si="21"/>
        <v>61530.590389677724</v>
      </c>
      <c r="I399" s="743">
        <f t="shared" si="22"/>
        <v>0</v>
      </c>
      <c r="J399" s="743"/>
      <c r="K399" s="869"/>
      <c r="L399" s="749"/>
      <c r="M399" s="869"/>
      <c r="N399" s="749"/>
      <c r="O399" s="749"/>
    </row>
    <row r="400" spans="3:15">
      <c r="C400" s="739">
        <f>IF(D364="","-",+C399+1)</f>
        <v>2046</v>
      </c>
      <c r="D400" s="691">
        <f t="shared" si="19"/>
        <v>258552.28500000061</v>
      </c>
      <c r="E400" s="746">
        <f t="shared" si="23"/>
        <v>29270.069999999996</v>
      </c>
      <c r="F400" s="691">
        <f t="shared" si="18"/>
        <v>229282.21500000061</v>
      </c>
      <c r="G400" s="1230">
        <f t="shared" si="20"/>
        <v>58074.10606221226</v>
      </c>
      <c r="H400" s="1233">
        <f t="shared" si="21"/>
        <v>58074.10606221226</v>
      </c>
      <c r="I400" s="743">
        <f t="shared" si="22"/>
        <v>0</v>
      </c>
      <c r="J400" s="743"/>
      <c r="K400" s="869"/>
      <c r="L400" s="749"/>
      <c r="M400" s="869"/>
      <c r="N400" s="749"/>
      <c r="O400" s="749"/>
    </row>
    <row r="401" spans="3:15">
      <c r="C401" s="739">
        <f>IF(D364="","-",+C400+1)</f>
        <v>2047</v>
      </c>
      <c r="D401" s="691">
        <f t="shared" si="19"/>
        <v>229282.21500000061</v>
      </c>
      <c r="E401" s="746">
        <f t="shared" si="23"/>
        <v>29270.069999999996</v>
      </c>
      <c r="F401" s="691">
        <f t="shared" si="18"/>
        <v>200012.1450000006</v>
      </c>
      <c r="G401" s="1230">
        <f t="shared" si="20"/>
        <v>54617.62173474679</v>
      </c>
      <c r="H401" s="1233">
        <f t="shared" si="21"/>
        <v>54617.62173474679</v>
      </c>
      <c r="I401" s="743">
        <f t="shared" si="22"/>
        <v>0</v>
      </c>
      <c r="J401" s="743"/>
      <c r="K401" s="869"/>
      <c r="L401" s="749"/>
      <c r="M401" s="869"/>
      <c r="N401" s="749"/>
      <c r="O401" s="749"/>
    </row>
    <row r="402" spans="3:15">
      <c r="C402" s="739">
        <f>IF(D364="","-",+C401+1)</f>
        <v>2048</v>
      </c>
      <c r="D402" s="691">
        <f t="shared" si="19"/>
        <v>200012.1450000006</v>
      </c>
      <c r="E402" s="746">
        <f t="shared" si="23"/>
        <v>29270.069999999996</v>
      </c>
      <c r="F402" s="691">
        <f t="shared" si="18"/>
        <v>170742.07500000059</v>
      </c>
      <c r="G402" s="1230">
        <f t="shared" si="20"/>
        <v>51161.137407281334</v>
      </c>
      <c r="H402" s="1233">
        <f t="shared" si="21"/>
        <v>51161.137407281334</v>
      </c>
      <c r="I402" s="743">
        <f t="shared" si="22"/>
        <v>0</v>
      </c>
      <c r="J402" s="743"/>
      <c r="K402" s="869"/>
      <c r="L402" s="749"/>
      <c r="M402" s="869"/>
      <c r="N402" s="749"/>
      <c r="O402" s="749"/>
    </row>
    <row r="403" spans="3:15">
      <c r="C403" s="739">
        <f>IF(D364="","-",+C402+1)</f>
        <v>2049</v>
      </c>
      <c r="D403" s="691">
        <f t="shared" si="19"/>
        <v>170742.07500000059</v>
      </c>
      <c r="E403" s="746">
        <f t="shared" si="23"/>
        <v>29270.069999999996</v>
      </c>
      <c r="F403" s="691">
        <f t="shared" si="18"/>
        <v>141472.00500000059</v>
      </c>
      <c r="G403" s="1230">
        <f t="shared" si="20"/>
        <v>47704.653079815864</v>
      </c>
      <c r="H403" s="1233">
        <f t="shared" si="21"/>
        <v>47704.653079815864</v>
      </c>
      <c r="I403" s="743">
        <f t="shared" si="22"/>
        <v>0</v>
      </c>
      <c r="J403" s="743"/>
      <c r="K403" s="869"/>
      <c r="L403" s="749"/>
      <c r="M403" s="869"/>
      <c r="N403" s="749"/>
      <c r="O403" s="749"/>
    </row>
    <row r="404" spans="3:15">
      <c r="C404" s="739">
        <f>IF(D364="","-",+C403+1)</f>
        <v>2050</v>
      </c>
      <c r="D404" s="691">
        <f t="shared" si="19"/>
        <v>141472.00500000059</v>
      </c>
      <c r="E404" s="746">
        <f t="shared" si="23"/>
        <v>29270.069999999996</v>
      </c>
      <c r="F404" s="691">
        <f t="shared" si="18"/>
        <v>112201.93500000059</v>
      </c>
      <c r="G404" s="1230">
        <f t="shared" si="20"/>
        <v>44248.168752350408</v>
      </c>
      <c r="H404" s="1233">
        <f t="shared" si="21"/>
        <v>44248.168752350408</v>
      </c>
      <c r="I404" s="743">
        <f t="shared" si="22"/>
        <v>0</v>
      </c>
      <c r="J404" s="743"/>
      <c r="K404" s="869"/>
      <c r="L404" s="749"/>
      <c r="M404" s="869"/>
      <c r="N404" s="749"/>
      <c r="O404" s="749"/>
    </row>
    <row r="405" spans="3:15">
      <c r="C405" s="739">
        <f>IF(D364="","-",+C404+1)</f>
        <v>2051</v>
      </c>
      <c r="D405" s="691">
        <f t="shared" si="19"/>
        <v>112201.93500000059</v>
      </c>
      <c r="E405" s="746">
        <f t="shared" si="23"/>
        <v>29270.069999999996</v>
      </c>
      <c r="F405" s="691">
        <f t="shared" si="18"/>
        <v>82931.865000000602</v>
      </c>
      <c r="G405" s="1230">
        <f t="shared" si="20"/>
        <v>40791.684424884945</v>
      </c>
      <c r="H405" s="1233">
        <f t="shared" si="21"/>
        <v>40791.684424884945</v>
      </c>
      <c r="I405" s="743">
        <f t="shared" si="22"/>
        <v>0</v>
      </c>
      <c r="J405" s="743"/>
      <c r="K405" s="869"/>
      <c r="L405" s="749"/>
      <c r="M405" s="869"/>
      <c r="N405" s="749"/>
      <c r="O405" s="749"/>
    </row>
    <row r="406" spans="3:15">
      <c r="C406" s="739">
        <f>IF(D364="","-",+C405+1)</f>
        <v>2052</v>
      </c>
      <c r="D406" s="691">
        <f t="shared" si="19"/>
        <v>82931.865000000602</v>
      </c>
      <c r="E406" s="746">
        <f t="shared" si="23"/>
        <v>29270.069999999996</v>
      </c>
      <c r="F406" s="691">
        <f t="shared" si="18"/>
        <v>53661.795000000609</v>
      </c>
      <c r="G406" s="1230">
        <f t="shared" si="20"/>
        <v>37335.200097419482</v>
      </c>
      <c r="H406" s="1233">
        <f t="shared" si="21"/>
        <v>37335.200097419482</v>
      </c>
      <c r="I406" s="743">
        <f t="shared" si="22"/>
        <v>0</v>
      </c>
      <c r="J406" s="743"/>
      <c r="K406" s="869"/>
      <c r="L406" s="749"/>
      <c r="M406" s="869"/>
      <c r="N406" s="749"/>
      <c r="O406" s="749"/>
    </row>
    <row r="407" spans="3:15">
      <c r="C407" s="739">
        <f>IF(D364="","-",+C406+1)</f>
        <v>2053</v>
      </c>
      <c r="D407" s="691">
        <f t="shared" si="19"/>
        <v>53661.795000000609</v>
      </c>
      <c r="E407" s="746">
        <f t="shared" si="23"/>
        <v>29270.069999999996</v>
      </c>
      <c r="F407" s="691">
        <f t="shared" si="18"/>
        <v>24391.725000000613</v>
      </c>
      <c r="G407" s="1230">
        <f t="shared" si="20"/>
        <v>33878.715769954018</v>
      </c>
      <c r="H407" s="1233">
        <f t="shared" si="21"/>
        <v>33878.715769954018</v>
      </c>
      <c r="I407" s="743">
        <f t="shared" si="22"/>
        <v>0</v>
      </c>
      <c r="J407" s="743"/>
      <c r="K407" s="869"/>
      <c r="L407" s="749"/>
      <c r="M407" s="869"/>
      <c r="N407" s="749"/>
      <c r="O407" s="749"/>
    </row>
    <row r="408" spans="3:15">
      <c r="C408" s="739">
        <f>IF(D364="","-",+C407+1)</f>
        <v>2054</v>
      </c>
      <c r="D408" s="691">
        <f t="shared" si="19"/>
        <v>24391.725000000613</v>
      </c>
      <c r="E408" s="746">
        <f t="shared" si="23"/>
        <v>24391.725000000613</v>
      </c>
      <c r="F408" s="691">
        <f t="shared" si="18"/>
        <v>0</v>
      </c>
      <c r="G408" s="1230">
        <f t="shared" si="20"/>
        <v>25831.926803111259</v>
      </c>
      <c r="H408" s="1233">
        <f t="shared" si="21"/>
        <v>25831.926803111259</v>
      </c>
      <c r="I408" s="743">
        <f t="shared" si="22"/>
        <v>0</v>
      </c>
      <c r="J408" s="743"/>
      <c r="K408" s="869"/>
      <c r="L408" s="749"/>
      <c r="M408" s="869"/>
      <c r="N408" s="749"/>
      <c r="O408" s="749"/>
    </row>
    <row r="409" spans="3:15">
      <c r="C409" s="739">
        <f>IF(D364="","-",+C408+1)</f>
        <v>2055</v>
      </c>
      <c r="D409" s="691">
        <f t="shared" si="19"/>
        <v>0</v>
      </c>
      <c r="E409" s="746">
        <f t="shared" si="23"/>
        <v>0</v>
      </c>
      <c r="F409" s="691">
        <f t="shared" si="18"/>
        <v>0</v>
      </c>
      <c r="G409" s="1230">
        <f t="shared" si="20"/>
        <v>0</v>
      </c>
      <c r="H409" s="1233">
        <f t="shared" si="21"/>
        <v>0</v>
      </c>
      <c r="I409" s="743">
        <f t="shared" si="22"/>
        <v>0</v>
      </c>
      <c r="J409" s="743"/>
      <c r="K409" s="869"/>
      <c r="L409" s="749"/>
      <c r="M409" s="869"/>
      <c r="N409" s="749"/>
      <c r="O409" s="749"/>
    </row>
    <row r="410" spans="3:15">
      <c r="C410" s="739">
        <f>IF(D364="","-",+C409+1)</f>
        <v>2056</v>
      </c>
      <c r="D410" s="691">
        <f t="shared" si="19"/>
        <v>0</v>
      </c>
      <c r="E410" s="746">
        <f t="shared" si="23"/>
        <v>0</v>
      </c>
      <c r="F410" s="691">
        <f t="shared" si="18"/>
        <v>0</v>
      </c>
      <c r="G410" s="1230">
        <f t="shared" si="20"/>
        <v>0</v>
      </c>
      <c r="H410" s="1233">
        <f t="shared" si="21"/>
        <v>0</v>
      </c>
      <c r="I410" s="743">
        <f t="shared" si="22"/>
        <v>0</v>
      </c>
      <c r="J410" s="743"/>
      <c r="K410" s="869"/>
      <c r="L410" s="749"/>
      <c r="M410" s="869"/>
      <c r="N410" s="749"/>
      <c r="O410" s="749"/>
    </row>
    <row r="411" spans="3:15">
      <c r="C411" s="739">
        <f>IF(D364="","-",+C410+1)</f>
        <v>2057</v>
      </c>
      <c r="D411" s="691">
        <f t="shared" si="19"/>
        <v>0</v>
      </c>
      <c r="E411" s="746">
        <f t="shared" si="23"/>
        <v>0</v>
      </c>
      <c r="F411" s="691">
        <f t="shared" si="18"/>
        <v>0</v>
      </c>
      <c r="G411" s="1230">
        <f t="shared" si="20"/>
        <v>0</v>
      </c>
      <c r="H411" s="1233">
        <f t="shared" si="21"/>
        <v>0</v>
      </c>
      <c r="I411" s="743">
        <f t="shared" si="22"/>
        <v>0</v>
      </c>
      <c r="J411" s="743"/>
      <c r="K411" s="869"/>
      <c r="L411" s="749"/>
      <c r="M411" s="869"/>
      <c r="N411" s="749"/>
      <c r="O411" s="749"/>
    </row>
    <row r="412" spans="3:15">
      <c r="C412" s="739">
        <f>IF(D364="","-",+C411+1)</f>
        <v>2058</v>
      </c>
      <c r="D412" s="691">
        <f t="shared" si="19"/>
        <v>0</v>
      </c>
      <c r="E412" s="746">
        <f t="shared" si="23"/>
        <v>0</v>
      </c>
      <c r="F412" s="691">
        <f t="shared" si="18"/>
        <v>0</v>
      </c>
      <c r="G412" s="1230">
        <f t="shared" si="20"/>
        <v>0</v>
      </c>
      <c r="H412" s="1233">
        <f t="shared" si="21"/>
        <v>0</v>
      </c>
      <c r="I412" s="743">
        <f t="shared" si="22"/>
        <v>0</v>
      </c>
      <c r="J412" s="743"/>
      <c r="K412" s="869"/>
      <c r="L412" s="749"/>
      <c r="M412" s="869"/>
      <c r="N412" s="749"/>
      <c r="O412" s="749"/>
    </row>
    <row r="413" spans="3:15">
      <c r="C413" s="739">
        <f>IF(D364="","-",+C412+1)</f>
        <v>2059</v>
      </c>
      <c r="D413" s="691">
        <f t="shared" si="19"/>
        <v>0</v>
      </c>
      <c r="E413" s="746">
        <f t="shared" si="23"/>
        <v>0</v>
      </c>
      <c r="F413" s="691">
        <f t="shared" si="18"/>
        <v>0</v>
      </c>
      <c r="G413" s="1230">
        <f t="shared" si="20"/>
        <v>0</v>
      </c>
      <c r="H413" s="1233">
        <f t="shared" si="21"/>
        <v>0</v>
      </c>
      <c r="I413" s="743">
        <f t="shared" si="22"/>
        <v>0</v>
      </c>
      <c r="J413" s="743"/>
      <c r="K413" s="869"/>
      <c r="L413" s="749"/>
      <c r="M413" s="869"/>
      <c r="N413" s="749"/>
      <c r="O413" s="749"/>
    </row>
    <row r="414" spans="3:15">
      <c r="C414" s="739">
        <f>IF(D364="","-",+C413+1)</f>
        <v>2060</v>
      </c>
      <c r="D414" s="691">
        <f t="shared" si="19"/>
        <v>0</v>
      </c>
      <c r="E414" s="746">
        <f t="shared" si="23"/>
        <v>0</v>
      </c>
      <c r="F414" s="691">
        <f t="shared" si="18"/>
        <v>0</v>
      </c>
      <c r="G414" s="1230">
        <f t="shared" si="20"/>
        <v>0</v>
      </c>
      <c r="H414" s="1233">
        <f t="shared" si="21"/>
        <v>0</v>
      </c>
      <c r="I414" s="743">
        <f t="shared" si="22"/>
        <v>0</v>
      </c>
      <c r="J414" s="743"/>
      <c r="K414" s="869"/>
      <c r="L414" s="749"/>
      <c r="M414" s="869"/>
      <c r="N414" s="749"/>
      <c r="O414" s="749"/>
    </row>
    <row r="415" spans="3:15">
      <c r="C415" s="739">
        <f>IF(D364="","-",+C414+1)</f>
        <v>2061</v>
      </c>
      <c r="D415" s="691">
        <f t="shared" si="19"/>
        <v>0</v>
      </c>
      <c r="E415" s="746">
        <f t="shared" si="23"/>
        <v>0</v>
      </c>
      <c r="F415" s="691">
        <f t="shared" si="18"/>
        <v>0</v>
      </c>
      <c r="G415" s="1230">
        <f t="shared" si="20"/>
        <v>0</v>
      </c>
      <c r="H415" s="1233">
        <f t="shared" si="21"/>
        <v>0</v>
      </c>
      <c r="I415" s="743">
        <f t="shared" si="22"/>
        <v>0</v>
      </c>
      <c r="J415" s="743"/>
      <c r="K415" s="869"/>
      <c r="L415" s="749"/>
      <c r="M415" s="869"/>
      <c r="N415" s="749"/>
      <c r="O415" s="749"/>
    </row>
    <row r="416" spans="3:15">
      <c r="C416" s="739">
        <f>IF(D364="","-",+C415+1)</f>
        <v>2062</v>
      </c>
      <c r="D416" s="691">
        <f t="shared" si="19"/>
        <v>0</v>
      </c>
      <c r="E416" s="746">
        <f t="shared" si="23"/>
        <v>0</v>
      </c>
      <c r="F416" s="691">
        <f t="shared" si="18"/>
        <v>0</v>
      </c>
      <c r="G416" s="1230">
        <f t="shared" si="20"/>
        <v>0</v>
      </c>
      <c r="H416" s="1233">
        <f t="shared" si="21"/>
        <v>0</v>
      </c>
      <c r="I416" s="743">
        <f t="shared" si="22"/>
        <v>0</v>
      </c>
      <c r="J416" s="743"/>
      <c r="K416" s="869"/>
      <c r="L416" s="749"/>
      <c r="M416" s="869"/>
      <c r="N416" s="749"/>
      <c r="O416" s="749"/>
    </row>
    <row r="417" spans="3:15">
      <c r="C417" s="739">
        <f>IF(D364="","-",+C416+1)</f>
        <v>2063</v>
      </c>
      <c r="D417" s="691">
        <f t="shared" si="19"/>
        <v>0</v>
      </c>
      <c r="E417" s="746">
        <f t="shared" si="23"/>
        <v>0</v>
      </c>
      <c r="F417" s="691">
        <f t="shared" si="18"/>
        <v>0</v>
      </c>
      <c r="G417" s="1230">
        <f t="shared" si="20"/>
        <v>0</v>
      </c>
      <c r="H417" s="1233">
        <f t="shared" si="21"/>
        <v>0</v>
      </c>
      <c r="I417" s="743">
        <f t="shared" si="22"/>
        <v>0</v>
      </c>
      <c r="J417" s="743"/>
      <c r="K417" s="869"/>
      <c r="L417" s="749"/>
      <c r="M417" s="869"/>
      <c r="N417" s="749"/>
      <c r="O417" s="749"/>
    </row>
    <row r="418" spans="3:15">
      <c r="C418" s="739">
        <f>IF(D364="","-",+C417+1)</f>
        <v>2064</v>
      </c>
      <c r="D418" s="691">
        <f t="shared" si="19"/>
        <v>0</v>
      </c>
      <c r="E418" s="746">
        <f t="shared" si="23"/>
        <v>0</v>
      </c>
      <c r="F418" s="691">
        <f t="shared" si="18"/>
        <v>0</v>
      </c>
      <c r="G418" s="1230">
        <f t="shared" si="20"/>
        <v>0</v>
      </c>
      <c r="H418" s="1233">
        <f t="shared" si="21"/>
        <v>0</v>
      </c>
      <c r="I418" s="743">
        <f t="shared" si="22"/>
        <v>0</v>
      </c>
      <c r="J418" s="743"/>
      <c r="K418" s="869"/>
      <c r="L418" s="749"/>
      <c r="M418" s="869"/>
      <c r="N418" s="749"/>
      <c r="O418" s="749"/>
    </row>
    <row r="419" spans="3:15">
      <c r="C419" s="739">
        <f>IF(D364="","-",+C418+1)</f>
        <v>2065</v>
      </c>
      <c r="D419" s="691">
        <f t="shared" si="19"/>
        <v>0</v>
      </c>
      <c r="E419" s="746">
        <f t="shared" si="23"/>
        <v>0</v>
      </c>
      <c r="F419" s="691">
        <f t="shared" si="18"/>
        <v>0</v>
      </c>
      <c r="G419" s="1230">
        <f t="shared" si="20"/>
        <v>0</v>
      </c>
      <c r="H419" s="1233">
        <f t="shared" si="21"/>
        <v>0</v>
      </c>
      <c r="I419" s="743">
        <f t="shared" si="22"/>
        <v>0</v>
      </c>
      <c r="J419" s="743"/>
      <c r="K419" s="869"/>
      <c r="L419" s="749"/>
      <c r="M419" s="869"/>
      <c r="N419" s="749"/>
      <c r="O419" s="749"/>
    </row>
    <row r="420" spans="3:15">
      <c r="C420" s="739">
        <f>IF(D364="","-",+C419+1)</f>
        <v>2066</v>
      </c>
      <c r="D420" s="691">
        <f t="shared" si="19"/>
        <v>0</v>
      </c>
      <c r="E420" s="746">
        <f t="shared" si="23"/>
        <v>0</v>
      </c>
      <c r="F420" s="691">
        <f t="shared" si="18"/>
        <v>0</v>
      </c>
      <c r="G420" s="1230">
        <f t="shared" si="20"/>
        <v>0</v>
      </c>
      <c r="H420" s="1233">
        <f t="shared" si="21"/>
        <v>0</v>
      </c>
      <c r="I420" s="743">
        <f t="shared" si="22"/>
        <v>0</v>
      </c>
      <c r="J420" s="743"/>
      <c r="K420" s="869"/>
      <c r="L420" s="749"/>
      <c r="M420" s="869"/>
      <c r="N420" s="749"/>
      <c r="O420" s="749"/>
    </row>
    <row r="421" spans="3:15">
      <c r="C421" s="739">
        <f>IF(D364="","-",+C420+1)</f>
        <v>2067</v>
      </c>
      <c r="D421" s="691">
        <f t="shared" si="19"/>
        <v>0</v>
      </c>
      <c r="E421" s="746">
        <f t="shared" si="23"/>
        <v>0</v>
      </c>
      <c r="F421" s="691">
        <f t="shared" si="18"/>
        <v>0</v>
      </c>
      <c r="G421" s="1230">
        <f t="shared" si="20"/>
        <v>0</v>
      </c>
      <c r="H421" s="1233">
        <f t="shared" si="21"/>
        <v>0</v>
      </c>
      <c r="I421" s="743">
        <f t="shared" si="22"/>
        <v>0</v>
      </c>
      <c r="J421" s="743"/>
      <c r="K421" s="869"/>
      <c r="L421" s="749"/>
      <c r="M421" s="869"/>
      <c r="N421" s="749"/>
      <c r="O421" s="749"/>
    </row>
    <row r="422" spans="3:15">
      <c r="C422" s="739">
        <f>IF(D364="","-",+C421+1)</f>
        <v>2068</v>
      </c>
      <c r="D422" s="691">
        <f t="shared" si="19"/>
        <v>0</v>
      </c>
      <c r="E422" s="746">
        <f t="shared" si="23"/>
        <v>0</v>
      </c>
      <c r="F422" s="691">
        <f t="shared" si="18"/>
        <v>0</v>
      </c>
      <c r="G422" s="1230">
        <f t="shared" si="20"/>
        <v>0</v>
      </c>
      <c r="H422" s="1233">
        <f t="shared" si="21"/>
        <v>0</v>
      </c>
      <c r="I422" s="743">
        <f t="shared" si="22"/>
        <v>0</v>
      </c>
      <c r="J422" s="743"/>
      <c r="K422" s="869"/>
      <c r="L422" s="749"/>
      <c r="M422" s="869"/>
      <c r="N422" s="749"/>
      <c r="O422" s="749"/>
    </row>
    <row r="423" spans="3:15">
      <c r="C423" s="739">
        <f>IF(D364="","-",+C422+1)</f>
        <v>2069</v>
      </c>
      <c r="D423" s="691">
        <f t="shared" si="19"/>
        <v>0</v>
      </c>
      <c r="E423" s="746">
        <f t="shared" si="23"/>
        <v>0</v>
      </c>
      <c r="F423" s="691">
        <f t="shared" si="18"/>
        <v>0</v>
      </c>
      <c r="G423" s="1230">
        <f t="shared" si="20"/>
        <v>0</v>
      </c>
      <c r="H423" s="1233">
        <f t="shared" si="21"/>
        <v>0</v>
      </c>
      <c r="I423" s="743">
        <f t="shared" si="22"/>
        <v>0</v>
      </c>
      <c r="J423" s="743"/>
      <c r="K423" s="869"/>
      <c r="L423" s="749"/>
      <c r="M423" s="869"/>
      <c r="N423" s="749"/>
      <c r="O423" s="749"/>
    </row>
    <row r="424" spans="3:15">
      <c r="C424" s="739">
        <f>IF(D364="","-",+C423+1)</f>
        <v>2070</v>
      </c>
      <c r="D424" s="691">
        <f t="shared" si="19"/>
        <v>0</v>
      </c>
      <c r="E424" s="746">
        <f t="shared" si="23"/>
        <v>0</v>
      </c>
      <c r="F424" s="691">
        <f t="shared" si="18"/>
        <v>0</v>
      </c>
      <c r="G424" s="1230">
        <f t="shared" si="20"/>
        <v>0</v>
      </c>
      <c r="H424" s="1233">
        <f t="shared" si="21"/>
        <v>0</v>
      </c>
      <c r="I424" s="743">
        <f t="shared" si="22"/>
        <v>0</v>
      </c>
      <c r="J424" s="743"/>
      <c r="K424" s="869"/>
      <c r="L424" s="749"/>
      <c r="M424" s="869"/>
      <c r="N424" s="749"/>
      <c r="O424" s="749"/>
    </row>
    <row r="425" spans="3:15">
      <c r="C425" s="739">
        <f>IF(D364="","-",+C424+1)</f>
        <v>2071</v>
      </c>
      <c r="D425" s="691">
        <f t="shared" si="19"/>
        <v>0</v>
      </c>
      <c r="E425" s="746">
        <f t="shared" si="23"/>
        <v>0</v>
      </c>
      <c r="F425" s="691">
        <f t="shared" si="18"/>
        <v>0</v>
      </c>
      <c r="G425" s="1230">
        <f t="shared" si="20"/>
        <v>0</v>
      </c>
      <c r="H425" s="1233">
        <f t="shared" si="21"/>
        <v>0</v>
      </c>
      <c r="I425" s="743">
        <f t="shared" si="22"/>
        <v>0</v>
      </c>
      <c r="J425" s="743"/>
      <c r="K425" s="869"/>
      <c r="L425" s="749"/>
      <c r="M425" s="869"/>
      <c r="N425" s="749"/>
      <c r="O425" s="749"/>
    </row>
    <row r="426" spans="3:15">
      <c r="C426" s="739">
        <f>IF(D364="","-",+C425+1)</f>
        <v>2072</v>
      </c>
      <c r="D426" s="691">
        <f t="shared" si="19"/>
        <v>0</v>
      </c>
      <c r="E426" s="746">
        <f t="shared" si="23"/>
        <v>0</v>
      </c>
      <c r="F426" s="691">
        <f t="shared" si="18"/>
        <v>0</v>
      </c>
      <c r="G426" s="1230">
        <f t="shared" si="20"/>
        <v>0</v>
      </c>
      <c r="H426" s="1233">
        <f t="shared" si="21"/>
        <v>0</v>
      </c>
      <c r="I426" s="743">
        <f t="shared" si="22"/>
        <v>0</v>
      </c>
      <c r="J426" s="743"/>
      <c r="K426" s="869"/>
      <c r="L426" s="749"/>
      <c r="M426" s="869"/>
      <c r="N426" s="749"/>
      <c r="O426" s="749"/>
    </row>
    <row r="427" spans="3:15">
      <c r="C427" s="739">
        <f>IF(D364="","-",+C426+1)</f>
        <v>2073</v>
      </c>
      <c r="D427" s="691">
        <f t="shared" si="19"/>
        <v>0</v>
      </c>
      <c r="E427" s="746">
        <f t="shared" si="23"/>
        <v>0</v>
      </c>
      <c r="F427" s="691">
        <f t="shared" si="18"/>
        <v>0</v>
      </c>
      <c r="G427" s="1230">
        <f t="shared" si="20"/>
        <v>0</v>
      </c>
      <c r="H427" s="1233">
        <f t="shared" si="21"/>
        <v>0</v>
      </c>
      <c r="I427" s="743">
        <f t="shared" si="22"/>
        <v>0</v>
      </c>
      <c r="J427" s="743"/>
      <c r="K427" s="869"/>
      <c r="L427" s="749"/>
      <c r="M427" s="869"/>
      <c r="N427" s="749"/>
      <c r="O427" s="749"/>
    </row>
    <row r="428" spans="3:15">
      <c r="C428" s="739">
        <f>IF(D364="","-",+C427+1)</f>
        <v>2074</v>
      </c>
      <c r="D428" s="691">
        <f t="shared" si="19"/>
        <v>0</v>
      </c>
      <c r="E428" s="746">
        <f t="shared" si="23"/>
        <v>0</v>
      </c>
      <c r="F428" s="691">
        <f t="shared" si="18"/>
        <v>0</v>
      </c>
      <c r="G428" s="1230">
        <f t="shared" si="20"/>
        <v>0</v>
      </c>
      <c r="H428" s="1233">
        <f t="shared" si="21"/>
        <v>0</v>
      </c>
      <c r="I428" s="743">
        <f t="shared" si="22"/>
        <v>0</v>
      </c>
      <c r="J428" s="743"/>
      <c r="K428" s="869"/>
      <c r="L428" s="749"/>
      <c r="M428" s="869"/>
      <c r="N428" s="749"/>
      <c r="O428" s="749"/>
    </row>
    <row r="429" spans="3:15" ht="13.5" thickBot="1">
      <c r="C429" s="750">
        <f>IF(D364="","-",+C428+1)</f>
        <v>2075</v>
      </c>
      <c r="D429" s="751">
        <f t="shared" si="19"/>
        <v>0</v>
      </c>
      <c r="E429" s="752">
        <f t="shared" si="23"/>
        <v>0</v>
      </c>
      <c r="F429" s="751">
        <f t="shared" si="18"/>
        <v>0</v>
      </c>
      <c r="G429" s="1241">
        <f t="shared" si="20"/>
        <v>0</v>
      </c>
      <c r="H429" s="1241">
        <f t="shared" si="21"/>
        <v>0</v>
      </c>
      <c r="I429" s="754">
        <f t="shared" si="22"/>
        <v>0</v>
      </c>
      <c r="J429" s="743"/>
      <c r="K429" s="870"/>
      <c r="L429" s="756"/>
      <c r="M429" s="870"/>
      <c r="N429" s="756"/>
      <c r="O429" s="756"/>
    </row>
    <row r="430" spans="3:15">
      <c r="C430" s="691" t="s">
        <v>289</v>
      </c>
      <c r="D430" s="1211"/>
      <c r="E430" s="1211">
        <f>SUM(E370:E429)</f>
        <v>1112262.6599999997</v>
      </c>
      <c r="F430" s="1211"/>
      <c r="G430" s="1211">
        <f>SUM(G370:G429)</f>
        <v>3717299.6814664719</v>
      </c>
      <c r="H430" s="1211">
        <f>SUM(H370:H429)</f>
        <v>3717299.6814664719</v>
      </c>
      <c r="I430" s="1211">
        <f>SUM(I370:I429)</f>
        <v>0</v>
      </c>
      <c r="J430" s="1211"/>
      <c r="K430" s="1211"/>
      <c r="L430" s="1211"/>
      <c r="M430" s="1211"/>
      <c r="N430" s="1211"/>
      <c r="O430" s="558"/>
    </row>
    <row r="431" spans="3:15">
      <c r="D431" s="581"/>
      <c r="E431" s="558"/>
      <c r="F431" s="558"/>
      <c r="G431" s="558"/>
      <c r="H431" s="1210"/>
      <c r="I431" s="1210"/>
      <c r="J431" s="1211"/>
      <c r="K431" s="1210"/>
      <c r="L431" s="1210"/>
      <c r="M431" s="1210"/>
      <c r="N431" s="1210"/>
      <c r="O431" s="558"/>
    </row>
    <row r="432" spans="3:15">
      <c r="C432" s="1242" t="s">
        <v>926</v>
      </c>
      <c r="D432" s="581"/>
      <c r="E432" s="558"/>
      <c r="F432" s="558"/>
      <c r="G432" s="558"/>
      <c r="H432" s="1210"/>
      <c r="I432" s="1210"/>
      <c r="J432" s="1211"/>
      <c r="K432" s="1210"/>
      <c r="L432" s="1210"/>
      <c r="M432" s="1210"/>
      <c r="N432" s="1210"/>
      <c r="O432" s="558"/>
    </row>
    <row r="433" spans="1:16">
      <c r="D433" s="581"/>
      <c r="E433" s="558"/>
      <c r="F433" s="558"/>
      <c r="G433" s="558"/>
      <c r="H433" s="1210"/>
      <c r="I433" s="1210"/>
      <c r="J433" s="1211"/>
      <c r="K433" s="1210"/>
      <c r="L433" s="1210"/>
      <c r="M433" s="1210"/>
      <c r="N433" s="1210"/>
      <c r="O433" s="558"/>
    </row>
    <row r="434" spans="1:16">
      <c r="C434" s="704" t="s">
        <v>927</v>
      </c>
      <c r="D434" s="691"/>
      <c r="E434" s="691"/>
      <c r="F434" s="691"/>
      <c r="G434" s="1211"/>
      <c r="H434" s="1211"/>
      <c r="I434" s="692"/>
      <c r="J434" s="692"/>
      <c r="K434" s="692"/>
      <c r="L434" s="692"/>
      <c r="M434" s="692"/>
      <c r="N434" s="692"/>
      <c r="O434" s="558"/>
    </row>
    <row r="435" spans="1:16">
      <c r="C435" s="690" t="s">
        <v>477</v>
      </c>
      <c r="D435" s="691"/>
      <c r="E435" s="691"/>
      <c r="F435" s="691"/>
      <c r="G435" s="1211"/>
      <c r="H435" s="1211"/>
      <c r="I435" s="692"/>
      <c r="J435" s="692"/>
      <c r="K435" s="692"/>
      <c r="L435" s="692"/>
      <c r="M435" s="692"/>
      <c r="N435" s="692"/>
      <c r="O435" s="558"/>
    </row>
    <row r="436" spans="1:16">
      <c r="C436" s="690" t="s">
        <v>290</v>
      </c>
      <c r="D436" s="691"/>
      <c r="E436" s="691"/>
      <c r="F436" s="691"/>
      <c r="G436" s="1211"/>
      <c r="H436" s="1211"/>
      <c r="I436" s="692"/>
      <c r="J436" s="692"/>
      <c r="K436" s="692"/>
      <c r="L436" s="692"/>
      <c r="M436" s="692"/>
      <c r="N436" s="692"/>
      <c r="O436" s="558"/>
    </row>
    <row r="437" spans="1:16">
      <c r="C437" s="690"/>
      <c r="D437" s="691"/>
      <c r="E437" s="691"/>
      <c r="F437" s="691"/>
      <c r="G437" s="1211"/>
      <c r="H437" s="1211"/>
      <c r="I437" s="692"/>
      <c r="J437" s="692"/>
      <c r="K437" s="692"/>
      <c r="L437" s="692"/>
      <c r="M437" s="692"/>
      <c r="N437" s="692"/>
      <c r="O437" s="558"/>
    </row>
    <row r="438" spans="1:16">
      <c r="C438" s="1601" t="s">
        <v>461</v>
      </c>
      <c r="D438" s="1601"/>
      <c r="E438" s="1601"/>
      <c r="F438" s="1601"/>
      <c r="G438" s="1601"/>
      <c r="H438" s="1601"/>
      <c r="I438" s="1601"/>
      <c r="J438" s="1601"/>
      <c r="K438" s="1601"/>
      <c r="L438" s="1601"/>
      <c r="M438" s="1601"/>
      <c r="N438" s="1601"/>
      <c r="O438" s="1601"/>
    </row>
    <row r="439" spans="1:16">
      <c r="C439" s="1601"/>
      <c r="D439" s="1601"/>
      <c r="E439" s="1601"/>
      <c r="F439" s="1601"/>
      <c r="G439" s="1601"/>
      <c r="H439" s="1601"/>
      <c r="I439" s="1601"/>
      <c r="J439" s="1601"/>
      <c r="K439" s="1601"/>
      <c r="L439" s="1601"/>
      <c r="M439" s="1601"/>
      <c r="N439" s="1601"/>
      <c r="O439" s="1601"/>
    </row>
    <row r="440" spans="1:16" ht="20.25">
      <c r="A440" s="693" t="s">
        <v>923</v>
      </c>
      <c r="B440" s="594"/>
      <c r="C440" s="673"/>
      <c r="D440" s="581"/>
      <c r="E440" s="558"/>
      <c r="F440" s="663"/>
      <c r="G440" s="558"/>
      <c r="H440" s="1210"/>
      <c r="K440" s="694"/>
      <c r="L440" s="694"/>
      <c r="M440" s="694"/>
      <c r="N440" s="609" t="str">
        <f>"Page "&amp;P440&amp;" of "</f>
        <v xml:space="preserve">Page 6 of </v>
      </c>
      <c r="O440" s="610">
        <f>COUNT(P$6:P$59527)</f>
        <v>10</v>
      </c>
      <c r="P440" s="558">
        <v>6</v>
      </c>
    </row>
    <row r="441" spans="1:16">
      <c r="B441" s="594"/>
      <c r="C441" s="558"/>
      <c r="D441" s="581"/>
      <c r="E441" s="558"/>
      <c r="F441" s="558"/>
      <c r="G441" s="558"/>
      <c r="H441" s="1210"/>
      <c r="I441" s="558"/>
      <c r="J441" s="606"/>
      <c r="K441" s="558"/>
      <c r="L441" s="558"/>
      <c r="M441" s="558"/>
      <c r="N441" s="558"/>
      <c r="O441" s="558"/>
    </row>
    <row r="442" spans="1:16" ht="18">
      <c r="B442" s="613" t="s">
        <v>175</v>
      </c>
      <c r="C442" s="695" t="s">
        <v>291</v>
      </c>
      <c r="D442" s="581"/>
      <c r="E442" s="558"/>
      <c r="F442" s="558"/>
      <c r="G442" s="558"/>
      <c r="H442" s="1210"/>
      <c r="I442" s="1210"/>
      <c r="J442" s="1211"/>
      <c r="K442" s="1210"/>
      <c r="L442" s="1210"/>
      <c r="M442" s="1210"/>
      <c r="N442" s="1210"/>
      <c r="O442" s="558"/>
    </row>
    <row r="443" spans="1:16" ht="18.75">
      <c r="B443" s="613"/>
      <c r="C443" s="612"/>
      <c r="D443" s="581"/>
      <c r="E443" s="558"/>
      <c r="F443" s="558"/>
      <c r="G443" s="558"/>
      <c r="H443" s="1210"/>
      <c r="I443" s="1210"/>
      <c r="J443" s="1211"/>
      <c r="K443" s="1210"/>
      <c r="L443" s="1210"/>
      <c r="M443" s="1210"/>
      <c r="N443" s="1210"/>
      <c r="O443" s="558"/>
    </row>
    <row r="444" spans="1:16" ht="18.75">
      <c r="B444" s="613"/>
      <c r="C444" s="612" t="s">
        <v>292</v>
      </c>
      <c r="D444" s="581"/>
      <c r="E444" s="558"/>
      <c r="F444" s="558"/>
      <c r="G444" s="558"/>
      <c r="H444" s="1210"/>
      <c r="I444" s="1210"/>
      <c r="J444" s="1211"/>
      <c r="K444" s="1210"/>
      <c r="L444" s="1210"/>
      <c r="M444" s="1210"/>
      <c r="N444" s="1210"/>
      <c r="O444" s="558"/>
    </row>
    <row r="445" spans="1:16" ht="15.75" thickBot="1">
      <c r="C445" s="411"/>
      <c r="D445" s="581"/>
      <c r="E445" s="558"/>
      <c r="F445" s="558"/>
      <c r="G445" s="558"/>
      <c r="H445" s="1210"/>
      <c r="I445" s="1210"/>
      <c r="J445" s="1211"/>
      <c r="K445" s="1210"/>
      <c r="L445" s="1210"/>
      <c r="M445" s="1210"/>
      <c r="N445" s="1210"/>
      <c r="O445" s="558"/>
    </row>
    <row r="446" spans="1:16" ht="15.75">
      <c r="C446" s="614" t="s">
        <v>293</v>
      </c>
      <c r="D446" s="581"/>
      <c r="E446" s="558"/>
      <c r="F446" s="558"/>
      <c r="G446" s="1212"/>
      <c r="H446" s="558" t="s">
        <v>272</v>
      </c>
      <c r="I446" s="558"/>
      <c r="J446" s="606"/>
      <c r="K446" s="696" t="s">
        <v>297</v>
      </c>
      <c r="L446" s="697"/>
      <c r="M446" s="698"/>
      <c r="N446" s="1213">
        <f>VLOOKUP(I452,C459:O518,5)</f>
        <v>88894.139022285584</v>
      </c>
      <c r="O446" s="558"/>
    </row>
    <row r="447" spans="1:16" ht="15.75">
      <c r="C447" s="614"/>
      <c r="D447" s="581"/>
      <c r="E447" s="558"/>
      <c r="F447" s="558"/>
      <c r="G447" s="558"/>
      <c r="H447" s="1214"/>
      <c r="I447" s="1214"/>
      <c r="J447" s="1215"/>
      <c r="K447" s="701" t="s">
        <v>298</v>
      </c>
      <c r="L447" s="1216"/>
      <c r="M447" s="606"/>
      <c r="N447" s="1217">
        <f>VLOOKUP(I452,C459:O518,6)</f>
        <v>88894.139022285584</v>
      </c>
      <c r="O447" s="558"/>
    </row>
    <row r="448" spans="1:16" ht="13.5" thickBot="1">
      <c r="C448" s="702" t="s">
        <v>294</v>
      </c>
      <c r="D448" s="1610" t="s">
        <v>931</v>
      </c>
      <c r="E448" s="1611"/>
      <c r="F448" s="1611"/>
      <c r="G448" s="1611"/>
      <c r="H448" s="1611"/>
      <c r="I448" s="1611"/>
      <c r="J448" s="1211"/>
      <c r="K448" s="1218" t="s">
        <v>451</v>
      </c>
      <c r="L448" s="1219"/>
      <c r="M448" s="1219"/>
      <c r="N448" s="1220">
        <f>+N447-N446</f>
        <v>0</v>
      </c>
      <c r="O448" s="558"/>
    </row>
    <row r="449" spans="1:15">
      <c r="C449" s="704"/>
      <c r="D449" s="1611"/>
      <c r="E449" s="1611"/>
      <c r="F449" s="1611"/>
      <c r="G449" s="1611"/>
      <c r="H449" s="1611"/>
      <c r="I449" s="1611"/>
      <c r="J449" s="1211"/>
      <c r="K449" s="1210"/>
      <c r="L449" s="1210"/>
      <c r="M449" s="1210"/>
      <c r="N449" s="1210"/>
      <c r="O449" s="558"/>
    </row>
    <row r="450" spans="1:15" ht="13.5" thickBot="1">
      <c r="C450" s="707"/>
      <c r="D450" s="708"/>
      <c r="E450" s="706"/>
      <c r="F450" s="706"/>
      <c r="G450" s="706"/>
      <c r="H450" s="706"/>
      <c r="I450" s="706"/>
      <c r="J450" s="709"/>
      <c r="K450" s="706"/>
      <c r="L450" s="706"/>
      <c r="M450" s="706"/>
      <c r="N450" s="706"/>
      <c r="O450" s="594"/>
    </row>
    <row r="451" spans="1:15" ht="13.5" thickBot="1">
      <c r="C451" s="710" t="s">
        <v>295</v>
      </c>
      <c r="D451" s="711"/>
      <c r="E451" s="711"/>
      <c r="F451" s="711"/>
      <c r="G451" s="711"/>
      <c r="H451" s="711"/>
      <c r="I451" s="712"/>
      <c r="J451" s="713"/>
      <c r="K451" s="558"/>
      <c r="L451" s="558"/>
      <c r="M451" s="558"/>
      <c r="N451" s="558"/>
      <c r="O451" s="714"/>
    </row>
    <row r="452" spans="1:15" ht="15">
      <c r="C452" s="716" t="s">
        <v>273</v>
      </c>
      <c r="D452" s="1221">
        <v>818037.26</v>
      </c>
      <c r="E452" s="673" t="s">
        <v>274</v>
      </c>
      <c r="G452" s="717"/>
      <c r="H452" s="717"/>
      <c r="I452" s="718">
        <f>I363</f>
        <v>2025</v>
      </c>
      <c r="J452" s="604"/>
      <c r="K452" s="1600" t="s">
        <v>460</v>
      </c>
      <c r="L452" s="1600"/>
      <c r="M452" s="1600"/>
      <c r="N452" s="1600"/>
      <c r="O452" s="1600"/>
    </row>
    <row r="453" spans="1:15">
      <c r="C453" s="716" t="s">
        <v>276</v>
      </c>
      <c r="D453" s="864">
        <v>2013</v>
      </c>
      <c r="E453" s="716" t="s">
        <v>277</v>
      </c>
      <c r="F453" s="717"/>
      <c r="H453" s="345"/>
      <c r="I453" s="867">
        <f>IF(G446="",0,$F$15)</f>
        <v>0</v>
      </c>
      <c r="J453" s="719"/>
      <c r="K453" s="1211" t="s">
        <v>460</v>
      </c>
    </row>
    <row r="454" spans="1:15">
      <c r="C454" s="716" t="s">
        <v>278</v>
      </c>
      <c r="D454" s="1221">
        <v>12</v>
      </c>
      <c r="E454" s="716" t="s">
        <v>279</v>
      </c>
      <c r="F454" s="717"/>
      <c r="H454" s="345"/>
      <c r="I454" s="720">
        <f>$G$70</f>
        <v>0.11808937687765908</v>
      </c>
      <c r="J454" s="721"/>
      <c r="K454" s="345" t="str">
        <f>"          INPUT PROJECTED ARR (WITH &amp; WITHOUT INCENTIVES) FROM EACH PRIOR YEAR"</f>
        <v xml:space="preserve">          INPUT PROJECTED ARR (WITH &amp; WITHOUT INCENTIVES) FROM EACH PRIOR YEAR</v>
      </c>
    </row>
    <row r="455" spans="1:15">
      <c r="C455" s="716" t="s">
        <v>280</v>
      </c>
      <c r="D455" s="722">
        <f>G$79</f>
        <v>38</v>
      </c>
      <c r="E455" s="716" t="s">
        <v>281</v>
      </c>
      <c r="F455" s="717"/>
      <c r="H455" s="345"/>
      <c r="I455" s="720">
        <f>IF(G446="",I454,$G$67)</f>
        <v>0.11808937687765908</v>
      </c>
      <c r="J455" s="723"/>
      <c r="K455" s="345" t="s">
        <v>358</v>
      </c>
    </row>
    <row r="456" spans="1:15" ht="13.5" thickBot="1">
      <c r="C456" s="716" t="s">
        <v>282</v>
      </c>
      <c r="D456" s="866" t="s">
        <v>925</v>
      </c>
      <c r="E456" s="724" t="s">
        <v>283</v>
      </c>
      <c r="F456" s="725"/>
      <c r="G456" s="726"/>
      <c r="H456" s="726"/>
      <c r="I456" s="1220">
        <f>IF(D452=0,0,D452/D455)</f>
        <v>21527.296315789474</v>
      </c>
      <c r="J456" s="1211"/>
      <c r="K456" s="1211" t="s">
        <v>364</v>
      </c>
      <c r="L456" s="1211"/>
      <c r="M456" s="1211"/>
      <c r="N456" s="1211"/>
      <c r="O456" s="606"/>
    </row>
    <row r="457" spans="1:15" ht="51">
      <c r="A457" s="545"/>
      <c r="B457" s="1222"/>
      <c r="C457" s="727" t="s">
        <v>273</v>
      </c>
      <c r="D457" s="1223" t="s">
        <v>284</v>
      </c>
      <c r="E457" s="1224" t="s">
        <v>285</v>
      </c>
      <c r="F457" s="1223" t="s">
        <v>286</v>
      </c>
      <c r="G457" s="1224" t="s">
        <v>357</v>
      </c>
      <c r="H457" s="1225" t="s">
        <v>357</v>
      </c>
      <c r="I457" s="727" t="s">
        <v>296</v>
      </c>
      <c r="J457" s="731"/>
      <c r="K457" s="1224" t="s">
        <v>366</v>
      </c>
      <c r="L457" s="1226"/>
      <c r="M457" s="1224" t="s">
        <v>366</v>
      </c>
      <c r="N457" s="1226"/>
      <c r="O457" s="1226"/>
    </row>
    <row r="458" spans="1:15" ht="13.5" thickBot="1">
      <c r="C458" s="733" t="s">
        <v>178</v>
      </c>
      <c r="D458" s="734" t="s">
        <v>179</v>
      </c>
      <c r="E458" s="733" t="s">
        <v>38</v>
      </c>
      <c r="F458" s="734" t="s">
        <v>179</v>
      </c>
      <c r="G458" s="1227" t="s">
        <v>299</v>
      </c>
      <c r="H458" s="1228" t="s">
        <v>301</v>
      </c>
      <c r="I458" s="737" t="s">
        <v>390</v>
      </c>
      <c r="J458" s="738"/>
      <c r="K458" s="1227" t="s">
        <v>288</v>
      </c>
      <c r="L458" s="1229"/>
      <c r="M458" s="1227" t="s">
        <v>301</v>
      </c>
      <c r="N458" s="1229"/>
      <c r="O458" s="1229"/>
    </row>
    <row r="459" spans="1:15">
      <c r="C459" s="739">
        <f>IF(D453= "","-",D453)</f>
        <v>2013</v>
      </c>
      <c r="D459" s="691">
        <f>+D452</f>
        <v>818037.26</v>
      </c>
      <c r="E459" s="1230">
        <f>+I456/12*(12-D454)</f>
        <v>0</v>
      </c>
      <c r="F459" s="691">
        <f t="shared" ref="F459:F518" si="24">+D459-E459</f>
        <v>818037.26</v>
      </c>
      <c r="G459" s="1231">
        <f>+$I$454*((D459+F459)/2)+E459</f>
        <v>96601.51029610759</v>
      </c>
      <c r="H459" s="1232">
        <f>+$I$455*((D459+F459)/2)+E459</f>
        <v>96601.51029610759</v>
      </c>
      <c r="I459" s="743">
        <f>+H459-G459</f>
        <v>0</v>
      </c>
      <c r="J459" s="743"/>
      <c r="K459" s="869">
        <v>0</v>
      </c>
      <c r="L459" s="745"/>
      <c r="M459" s="869">
        <v>0</v>
      </c>
      <c r="N459" s="745"/>
      <c r="O459" s="745"/>
    </row>
    <row r="460" spans="1:15">
      <c r="C460" s="739">
        <f>IF(D453="","-",+C459+1)</f>
        <v>2014</v>
      </c>
      <c r="D460" s="691">
        <f t="shared" ref="D460:D518" si="25">F459</f>
        <v>818037.26</v>
      </c>
      <c r="E460" s="746">
        <f>IF(D460&gt;$I$456,$I$456,D460)</f>
        <v>21527.296315789474</v>
      </c>
      <c r="F460" s="691">
        <f t="shared" si="24"/>
        <v>796509.96368421055</v>
      </c>
      <c r="G460" s="1230">
        <f t="shared" ref="G460:G518" si="26">+$I$454*((D460+F460)/2)+E460</f>
        <v>116857.73410800091</v>
      </c>
      <c r="H460" s="1233">
        <f t="shared" ref="H460:H518" si="27">+$I$455*((D460+F460)/2)+E460</f>
        <v>116857.73410800091</v>
      </c>
      <c r="I460" s="743">
        <f t="shared" ref="I460:I518" si="28">+H460-G460</f>
        <v>0</v>
      </c>
      <c r="J460" s="743"/>
      <c r="K460" s="869">
        <v>139756</v>
      </c>
      <c r="L460" s="749"/>
      <c r="M460" s="869">
        <v>139756</v>
      </c>
      <c r="N460" s="749"/>
      <c r="O460" s="749"/>
    </row>
    <row r="461" spans="1:15">
      <c r="C461" s="739">
        <f>IF(D453="","-",+C460+1)</f>
        <v>2015</v>
      </c>
      <c r="D461" s="691">
        <f t="shared" si="25"/>
        <v>796509.96368421055</v>
      </c>
      <c r="E461" s="746">
        <f t="shared" ref="E461:E518" si="29">IF(D461&gt;$I$456,$I$456,D461)</f>
        <v>21527.296315789474</v>
      </c>
      <c r="F461" s="691">
        <f t="shared" si="24"/>
        <v>774982.6673684211</v>
      </c>
      <c r="G461" s="1230">
        <f t="shared" si="26"/>
        <v>114315.5891002086</v>
      </c>
      <c r="H461" s="1233">
        <f t="shared" si="27"/>
        <v>114315.5891002086</v>
      </c>
      <c r="I461" s="743">
        <f t="shared" si="28"/>
        <v>0</v>
      </c>
      <c r="J461" s="743"/>
      <c r="K461" s="869">
        <v>133078</v>
      </c>
      <c r="L461" s="749"/>
      <c r="M461" s="869">
        <v>133078</v>
      </c>
      <c r="N461" s="749"/>
      <c r="O461" s="749"/>
    </row>
    <row r="462" spans="1:15">
      <c r="C462" s="739">
        <f>IF(D453="","-",+C461+1)</f>
        <v>2016</v>
      </c>
      <c r="D462" s="691">
        <f t="shared" si="25"/>
        <v>774982.6673684211</v>
      </c>
      <c r="E462" s="746">
        <f t="shared" si="29"/>
        <v>21527.296315789474</v>
      </c>
      <c r="F462" s="691">
        <f t="shared" si="24"/>
        <v>753455.37105263164</v>
      </c>
      <c r="G462" s="1230">
        <f t="shared" si="26"/>
        <v>111773.44409241631</v>
      </c>
      <c r="H462" s="1233">
        <f t="shared" si="27"/>
        <v>111773.44409241631</v>
      </c>
      <c r="I462" s="743">
        <f t="shared" si="28"/>
        <v>0</v>
      </c>
      <c r="J462" s="743"/>
      <c r="K462" s="869">
        <v>132118</v>
      </c>
      <c r="L462" s="749"/>
      <c r="M462" s="869">
        <v>132118</v>
      </c>
      <c r="N462" s="749"/>
      <c r="O462" s="749"/>
    </row>
    <row r="463" spans="1:15">
      <c r="C463" s="739">
        <f>IF(D453="","-",+C462+1)</f>
        <v>2017</v>
      </c>
      <c r="D463" s="691">
        <f t="shared" si="25"/>
        <v>753455.37105263164</v>
      </c>
      <c r="E463" s="746">
        <f t="shared" si="29"/>
        <v>21527.296315789474</v>
      </c>
      <c r="F463" s="691">
        <f t="shared" si="24"/>
        <v>731928.07473684219</v>
      </c>
      <c r="G463" s="1230">
        <f t="shared" si="26"/>
        <v>109231.299084624</v>
      </c>
      <c r="H463" s="1233">
        <f t="shared" si="27"/>
        <v>109231.299084624</v>
      </c>
      <c r="I463" s="743">
        <f t="shared" si="28"/>
        <v>0</v>
      </c>
      <c r="J463" s="743"/>
      <c r="K463" s="869">
        <v>119121</v>
      </c>
      <c r="L463" s="749"/>
      <c r="M463" s="869">
        <v>119121</v>
      </c>
      <c r="N463" s="749"/>
      <c r="O463" s="749"/>
    </row>
    <row r="464" spans="1:15">
      <c r="C464" s="739">
        <f>IF(D453="","-",+C463+1)</f>
        <v>2018</v>
      </c>
      <c r="D464" s="691">
        <f t="shared" si="25"/>
        <v>731928.07473684219</v>
      </c>
      <c r="E464" s="746">
        <f t="shared" si="29"/>
        <v>21527.296315789474</v>
      </c>
      <c r="F464" s="691">
        <f t="shared" si="24"/>
        <v>710400.77842105273</v>
      </c>
      <c r="G464" s="1230">
        <f t="shared" si="26"/>
        <v>106689.15407683169</v>
      </c>
      <c r="H464" s="1233">
        <f t="shared" si="27"/>
        <v>106689.15407683169</v>
      </c>
      <c r="I464" s="743">
        <f t="shared" si="28"/>
        <v>0</v>
      </c>
      <c r="J464" s="743"/>
      <c r="K464" s="869">
        <v>98812</v>
      </c>
      <c r="L464" s="749"/>
      <c r="M464" s="869">
        <v>98812</v>
      </c>
      <c r="N464" s="749"/>
      <c r="O464" s="749"/>
    </row>
    <row r="465" spans="3:15">
      <c r="C465" s="739">
        <f>IF(D453="","-",+C464+1)</f>
        <v>2019</v>
      </c>
      <c r="D465" s="691">
        <f t="shared" si="25"/>
        <v>710400.77842105273</v>
      </c>
      <c r="E465" s="746">
        <f t="shared" si="29"/>
        <v>21527.296315789474</v>
      </c>
      <c r="F465" s="691">
        <f t="shared" si="24"/>
        <v>688873.48210526328</v>
      </c>
      <c r="G465" s="1230">
        <f t="shared" si="26"/>
        <v>104147.0090690394</v>
      </c>
      <c r="H465" s="1233">
        <f t="shared" si="27"/>
        <v>104147.0090690394</v>
      </c>
      <c r="I465" s="743">
        <f t="shared" si="28"/>
        <v>0</v>
      </c>
      <c r="J465" s="743"/>
      <c r="K465" s="869">
        <v>90111.589443632678</v>
      </c>
      <c r="L465" s="749"/>
      <c r="M465" s="869">
        <v>90111.589443632678</v>
      </c>
      <c r="N465" s="749"/>
      <c r="O465" s="749"/>
    </row>
    <row r="466" spans="3:15">
      <c r="C466" s="739">
        <f>IF(D453="","-",+C465+1)</f>
        <v>2020</v>
      </c>
      <c r="D466" s="691">
        <f t="shared" si="25"/>
        <v>688873.48210526328</v>
      </c>
      <c r="E466" s="746">
        <f t="shared" si="29"/>
        <v>21527.296315789474</v>
      </c>
      <c r="F466" s="691">
        <f t="shared" si="24"/>
        <v>667346.18578947382</v>
      </c>
      <c r="G466" s="1230">
        <f t="shared" si="26"/>
        <v>101604.86406124709</v>
      </c>
      <c r="H466" s="1233">
        <f t="shared" si="27"/>
        <v>101604.86406124709</v>
      </c>
      <c r="I466" s="743">
        <f t="shared" si="28"/>
        <v>0</v>
      </c>
      <c r="J466" s="743"/>
      <c r="K466" s="869">
        <v>87283.147997198728</v>
      </c>
      <c r="L466" s="749"/>
      <c r="M466" s="869">
        <v>87283.147997198728</v>
      </c>
      <c r="N466" s="749"/>
      <c r="O466" s="749"/>
    </row>
    <row r="467" spans="3:15">
      <c r="C467" s="739">
        <f>IF(D453="","-",+C466+1)</f>
        <v>2021</v>
      </c>
      <c r="D467" s="691">
        <f t="shared" si="25"/>
        <v>667346.18578947382</v>
      </c>
      <c r="E467" s="746">
        <f t="shared" si="29"/>
        <v>21527.296315789474</v>
      </c>
      <c r="F467" s="691">
        <f t="shared" si="24"/>
        <v>645818.88947368436</v>
      </c>
      <c r="G467" s="1230">
        <f t="shared" si="26"/>
        <v>99062.719053454784</v>
      </c>
      <c r="H467" s="1233">
        <f t="shared" si="27"/>
        <v>99062.719053454784</v>
      </c>
      <c r="I467" s="743">
        <f t="shared" si="28"/>
        <v>0</v>
      </c>
      <c r="J467" s="743"/>
      <c r="K467" s="869">
        <v>86202.751114463812</v>
      </c>
      <c r="L467" s="749"/>
      <c r="M467" s="869">
        <v>86202.751114463812</v>
      </c>
      <c r="N467" s="749"/>
      <c r="O467" s="749"/>
    </row>
    <row r="468" spans="3:15">
      <c r="C468" s="739">
        <f>IF(D453="","-",+C467+1)</f>
        <v>2022</v>
      </c>
      <c r="D468" s="691">
        <f t="shared" si="25"/>
        <v>645818.88947368436</v>
      </c>
      <c r="E468" s="746">
        <f t="shared" si="29"/>
        <v>21527.296315789474</v>
      </c>
      <c r="F468" s="691">
        <f t="shared" si="24"/>
        <v>624291.59315789491</v>
      </c>
      <c r="G468" s="1230">
        <f t="shared" si="26"/>
        <v>96520.574045662492</v>
      </c>
      <c r="H468" s="1233">
        <f t="shared" si="27"/>
        <v>96520.574045662492</v>
      </c>
      <c r="I468" s="743">
        <f t="shared" si="28"/>
        <v>0</v>
      </c>
      <c r="J468" s="743"/>
      <c r="K468" s="869">
        <v>87432.673986372596</v>
      </c>
      <c r="L468" s="749"/>
      <c r="M468" s="869">
        <v>87432.673986372596</v>
      </c>
      <c r="N468" s="749"/>
      <c r="O468" s="749"/>
    </row>
    <row r="469" spans="3:15">
      <c r="C469" s="739">
        <f>IF(D453="","-",+C468+1)</f>
        <v>2023</v>
      </c>
      <c r="D469" s="691">
        <f t="shared" si="25"/>
        <v>624291.59315789491</v>
      </c>
      <c r="E469" s="746">
        <f t="shared" si="29"/>
        <v>21527.296315789474</v>
      </c>
      <c r="F469" s="691">
        <f t="shared" si="24"/>
        <v>602764.29684210545</v>
      </c>
      <c r="G469" s="1230">
        <f t="shared" si="26"/>
        <v>93978.429037870184</v>
      </c>
      <c r="H469" s="1233">
        <f t="shared" si="27"/>
        <v>93978.429037870184</v>
      </c>
      <c r="I469" s="743">
        <f t="shared" si="28"/>
        <v>0</v>
      </c>
      <c r="J469" s="743"/>
      <c r="K469" s="869">
        <v>92748.466299662425</v>
      </c>
      <c r="L469" s="749"/>
      <c r="M469" s="869">
        <v>92748.466299662425</v>
      </c>
      <c r="N469" s="749"/>
      <c r="O469" s="749"/>
    </row>
    <row r="470" spans="3:15">
      <c r="C470" s="739">
        <f>IF(D453="","-",+C469+1)</f>
        <v>2024</v>
      </c>
      <c r="D470" s="691">
        <f t="shared" si="25"/>
        <v>602764.29684210545</v>
      </c>
      <c r="E470" s="746">
        <f t="shared" si="29"/>
        <v>21527.296315789474</v>
      </c>
      <c r="F470" s="691">
        <f t="shared" si="24"/>
        <v>581237.000526316</v>
      </c>
      <c r="G470" s="1230">
        <f t="shared" si="26"/>
        <v>91436.284030077877</v>
      </c>
      <c r="H470" s="1233">
        <f t="shared" si="27"/>
        <v>91436.284030077877</v>
      </c>
      <c r="I470" s="743">
        <f t="shared" si="28"/>
        <v>0</v>
      </c>
      <c r="J470" s="743"/>
      <c r="K470" s="869">
        <v>93164.52509535935</v>
      </c>
      <c r="L470" s="749"/>
      <c r="M470" s="869">
        <v>93164.52509535935</v>
      </c>
      <c r="N470" s="749"/>
      <c r="O470" s="749"/>
    </row>
    <row r="471" spans="3:15">
      <c r="C471" s="739">
        <f>IF(D453="","-",+C470+1)</f>
        <v>2025</v>
      </c>
      <c r="D471" s="691">
        <f t="shared" si="25"/>
        <v>581237.000526316</v>
      </c>
      <c r="E471" s="746">
        <f t="shared" si="29"/>
        <v>21527.296315789474</v>
      </c>
      <c r="F471" s="691">
        <f t="shared" si="24"/>
        <v>559709.70421052654</v>
      </c>
      <c r="G471" s="1230">
        <f t="shared" si="26"/>
        <v>88894.139022285584</v>
      </c>
      <c r="H471" s="1233">
        <f t="shared" si="27"/>
        <v>88894.139022285584</v>
      </c>
      <c r="I471" s="743">
        <f t="shared" si="28"/>
        <v>0</v>
      </c>
      <c r="J471" s="743"/>
      <c r="K471" s="869"/>
      <c r="L471" s="749"/>
      <c r="M471" s="869"/>
      <c r="N471" s="749"/>
      <c r="O471" s="749"/>
    </row>
    <row r="472" spans="3:15">
      <c r="C472" s="739">
        <f>IF(D453="","-",+C471+1)</f>
        <v>2026</v>
      </c>
      <c r="D472" s="691">
        <f t="shared" si="25"/>
        <v>559709.70421052654</v>
      </c>
      <c r="E472" s="746">
        <f t="shared" si="29"/>
        <v>21527.296315789474</v>
      </c>
      <c r="F472" s="691">
        <f t="shared" si="24"/>
        <v>538182.40789473709</v>
      </c>
      <c r="G472" s="1230">
        <f t="shared" si="26"/>
        <v>86351.994014493277</v>
      </c>
      <c r="H472" s="1233">
        <f t="shared" si="27"/>
        <v>86351.994014493277</v>
      </c>
      <c r="I472" s="743">
        <f t="shared" si="28"/>
        <v>0</v>
      </c>
      <c r="J472" s="743"/>
      <c r="K472" s="869"/>
      <c r="L472" s="749"/>
      <c r="M472" s="869"/>
      <c r="N472" s="749"/>
      <c r="O472" s="749"/>
    </row>
    <row r="473" spans="3:15">
      <c r="C473" s="739">
        <f>IF(D453="","-",+C472+1)</f>
        <v>2027</v>
      </c>
      <c r="D473" s="691">
        <f t="shared" si="25"/>
        <v>538182.40789473709</v>
      </c>
      <c r="E473" s="746">
        <f t="shared" si="29"/>
        <v>21527.296315789474</v>
      </c>
      <c r="F473" s="691">
        <f t="shared" si="24"/>
        <v>516655.11157894763</v>
      </c>
      <c r="G473" s="1230">
        <f t="shared" si="26"/>
        <v>83809.84900670097</v>
      </c>
      <c r="H473" s="1233">
        <f t="shared" si="27"/>
        <v>83809.84900670097</v>
      </c>
      <c r="I473" s="743">
        <f t="shared" si="28"/>
        <v>0</v>
      </c>
      <c r="J473" s="743"/>
      <c r="K473" s="869"/>
      <c r="L473" s="749"/>
      <c r="M473" s="869"/>
      <c r="N473" s="749"/>
      <c r="O473" s="749"/>
    </row>
    <row r="474" spans="3:15">
      <c r="C474" s="739">
        <f>IF(D453="","-",+C473+1)</f>
        <v>2028</v>
      </c>
      <c r="D474" s="691">
        <f t="shared" si="25"/>
        <v>516655.11157894763</v>
      </c>
      <c r="E474" s="746">
        <f t="shared" si="29"/>
        <v>21527.296315789474</v>
      </c>
      <c r="F474" s="691">
        <f t="shared" si="24"/>
        <v>495127.81526315818</v>
      </c>
      <c r="G474" s="1230">
        <f t="shared" si="26"/>
        <v>81267.703998908677</v>
      </c>
      <c r="H474" s="1233">
        <f t="shared" si="27"/>
        <v>81267.703998908677</v>
      </c>
      <c r="I474" s="743">
        <f t="shared" si="28"/>
        <v>0</v>
      </c>
      <c r="J474" s="743"/>
      <c r="K474" s="869"/>
      <c r="L474" s="749"/>
      <c r="M474" s="869"/>
      <c r="N474" s="749"/>
      <c r="O474" s="749"/>
    </row>
    <row r="475" spans="3:15">
      <c r="C475" s="739">
        <f>IF(D453="","-",+C474+1)</f>
        <v>2029</v>
      </c>
      <c r="D475" s="691">
        <f t="shared" si="25"/>
        <v>495127.81526315818</v>
      </c>
      <c r="E475" s="746">
        <f t="shared" si="29"/>
        <v>21527.296315789474</v>
      </c>
      <c r="F475" s="691">
        <f t="shared" si="24"/>
        <v>473600.51894736872</v>
      </c>
      <c r="G475" s="1230">
        <f t="shared" si="26"/>
        <v>78725.55899111637</v>
      </c>
      <c r="H475" s="1233">
        <f t="shared" si="27"/>
        <v>78725.55899111637</v>
      </c>
      <c r="I475" s="743">
        <f t="shared" si="28"/>
        <v>0</v>
      </c>
      <c r="J475" s="743"/>
      <c r="K475" s="869"/>
      <c r="L475" s="749"/>
      <c r="M475" s="869"/>
      <c r="N475" s="749"/>
      <c r="O475" s="749"/>
    </row>
    <row r="476" spans="3:15">
      <c r="C476" s="739">
        <f>IF(D453="","-",+C475+1)</f>
        <v>2030</v>
      </c>
      <c r="D476" s="691">
        <f t="shared" si="25"/>
        <v>473600.51894736872</v>
      </c>
      <c r="E476" s="746">
        <f t="shared" si="29"/>
        <v>21527.296315789474</v>
      </c>
      <c r="F476" s="691">
        <f t="shared" si="24"/>
        <v>452073.22263157926</v>
      </c>
      <c r="G476" s="1230">
        <f t="shared" si="26"/>
        <v>76183.413983324062</v>
      </c>
      <c r="H476" s="1233">
        <f t="shared" si="27"/>
        <v>76183.413983324062</v>
      </c>
      <c r="I476" s="743">
        <f t="shared" si="28"/>
        <v>0</v>
      </c>
      <c r="J476" s="743"/>
      <c r="K476" s="869"/>
      <c r="L476" s="749"/>
      <c r="M476" s="869"/>
      <c r="N476" s="749"/>
      <c r="O476" s="749"/>
    </row>
    <row r="477" spans="3:15">
      <c r="C477" s="739">
        <f>IF(D453="","-",+C476+1)</f>
        <v>2031</v>
      </c>
      <c r="D477" s="691">
        <f t="shared" si="25"/>
        <v>452073.22263157926</v>
      </c>
      <c r="E477" s="746">
        <f t="shared" si="29"/>
        <v>21527.296315789474</v>
      </c>
      <c r="F477" s="691">
        <f t="shared" si="24"/>
        <v>430545.92631578981</v>
      </c>
      <c r="G477" s="1230">
        <f t="shared" si="26"/>
        <v>73641.26897553177</v>
      </c>
      <c r="H477" s="1233">
        <f t="shared" si="27"/>
        <v>73641.26897553177</v>
      </c>
      <c r="I477" s="743">
        <f t="shared" si="28"/>
        <v>0</v>
      </c>
      <c r="J477" s="743"/>
      <c r="K477" s="869"/>
      <c r="L477" s="749"/>
      <c r="M477" s="869"/>
      <c r="N477" s="749"/>
      <c r="O477" s="749"/>
    </row>
    <row r="478" spans="3:15">
      <c r="C478" s="739">
        <f>IF(D453="","-",+C477+1)</f>
        <v>2032</v>
      </c>
      <c r="D478" s="691">
        <f t="shared" si="25"/>
        <v>430545.92631578981</v>
      </c>
      <c r="E478" s="746">
        <f t="shared" si="29"/>
        <v>21527.296315789474</v>
      </c>
      <c r="F478" s="691">
        <f t="shared" si="24"/>
        <v>409018.63000000035</v>
      </c>
      <c r="G478" s="1230">
        <f t="shared" si="26"/>
        <v>71099.123967739462</v>
      </c>
      <c r="H478" s="1233">
        <f t="shared" si="27"/>
        <v>71099.123967739462</v>
      </c>
      <c r="I478" s="743">
        <f t="shared" si="28"/>
        <v>0</v>
      </c>
      <c r="J478" s="743"/>
      <c r="K478" s="869"/>
      <c r="L478" s="749"/>
      <c r="M478" s="869"/>
      <c r="N478" s="749"/>
      <c r="O478" s="749"/>
    </row>
    <row r="479" spans="3:15">
      <c r="C479" s="739">
        <f>IF(D453="","-",+C478+1)</f>
        <v>2033</v>
      </c>
      <c r="D479" s="691">
        <f t="shared" si="25"/>
        <v>409018.63000000035</v>
      </c>
      <c r="E479" s="746">
        <f t="shared" si="29"/>
        <v>21527.296315789474</v>
      </c>
      <c r="F479" s="691">
        <f t="shared" si="24"/>
        <v>387491.3336842109</v>
      </c>
      <c r="G479" s="1230">
        <f t="shared" si="26"/>
        <v>68556.978959947155</v>
      </c>
      <c r="H479" s="1233">
        <f t="shared" si="27"/>
        <v>68556.978959947155</v>
      </c>
      <c r="I479" s="743">
        <f t="shared" si="28"/>
        <v>0</v>
      </c>
      <c r="J479" s="743"/>
      <c r="K479" s="869"/>
      <c r="L479" s="749"/>
      <c r="M479" s="869"/>
      <c r="N479" s="749"/>
      <c r="O479" s="749"/>
    </row>
    <row r="480" spans="3:15">
      <c r="C480" s="739">
        <f>IF(D453="","-",+C479+1)</f>
        <v>2034</v>
      </c>
      <c r="D480" s="691">
        <f t="shared" si="25"/>
        <v>387491.3336842109</v>
      </c>
      <c r="E480" s="746">
        <f t="shared" si="29"/>
        <v>21527.296315789474</v>
      </c>
      <c r="F480" s="691">
        <f t="shared" si="24"/>
        <v>365964.03736842144</v>
      </c>
      <c r="G480" s="1230">
        <f t="shared" si="26"/>
        <v>66014.833952154862</v>
      </c>
      <c r="H480" s="1233">
        <f t="shared" si="27"/>
        <v>66014.833952154862</v>
      </c>
      <c r="I480" s="743">
        <f t="shared" si="28"/>
        <v>0</v>
      </c>
      <c r="J480" s="743"/>
      <c r="K480" s="869"/>
      <c r="L480" s="749"/>
      <c r="M480" s="869"/>
      <c r="N480" s="749"/>
      <c r="O480" s="749"/>
    </row>
    <row r="481" spans="3:15">
      <c r="C481" s="739">
        <f>IF(D453="","-",+C480+1)</f>
        <v>2035</v>
      </c>
      <c r="D481" s="691">
        <f t="shared" si="25"/>
        <v>365964.03736842144</v>
      </c>
      <c r="E481" s="746">
        <f t="shared" si="29"/>
        <v>21527.296315789474</v>
      </c>
      <c r="F481" s="691">
        <f t="shared" si="24"/>
        <v>344436.74105263199</v>
      </c>
      <c r="G481" s="1230">
        <f t="shared" si="26"/>
        <v>63472.688944362555</v>
      </c>
      <c r="H481" s="1233">
        <f t="shared" si="27"/>
        <v>63472.688944362555</v>
      </c>
      <c r="I481" s="743">
        <f t="shared" si="28"/>
        <v>0</v>
      </c>
      <c r="J481" s="743"/>
      <c r="K481" s="869"/>
      <c r="L481" s="749"/>
      <c r="M481" s="869"/>
      <c r="N481" s="749"/>
      <c r="O481" s="749"/>
    </row>
    <row r="482" spans="3:15">
      <c r="C482" s="739">
        <f>IF(D453="","-",+C481+1)</f>
        <v>2036</v>
      </c>
      <c r="D482" s="691">
        <f t="shared" si="25"/>
        <v>344436.74105263199</v>
      </c>
      <c r="E482" s="746">
        <f t="shared" si="29"/>
        <v>21527.296315789474</v>
      </c>
      <c r="F482" s="691">
        <f t="shared" si="24"/>
        <v>322909.44473684253</v>
      </c>
      <c r="G482" s="1230">
        <f t="shared" si="26"/>
        <v>60930.543936570248</v>
      </c>
      <c r="H482" s="1233">
        <f t="shared" si="27"/>
        <v>60930.543936570248</v>
      </c>
      <c r="I482" s="743">
        <f t="shared" si="28"/>
        <v>0</v>
      </c>
      <c r="J482" s="743"/>
      <c r="K482" s="869"/>
      <c r="L482" s="749"/>
      <c r="M482" s="869"/>
      <c r="N482" s="749"/>
      <c r="O482" s="749"/>
    </row>
    <row r="483" spans="3:15">
      <c r="C483" s="739">
        <f>IF(D453="","-",+C482+1)</f>
        <v>2037</v>
      </c>
      <c r="D483" s="691">
        <f t="shared" si="25"/>
        <v>322909.44473684253</v>
      </c>
      <c r="E483" s="746">
        <f t="shared" si="29"/>
        <v>21527.296315789474</v>
      </c>
      <c r="F483" s="691">
        <f t="shared" si="24"/>
        <v>301382.14842105308</v>
      </c>
      <c r="G483" s="1230">
        <f t="shared" si="26"/>
        <v>58388.39892877794</v>
      </c>
      <c r="H483" s="1233">
        <f t="shared" si="27"/>
        <v>58388.39892877794</v>
      </c>
      <c r="I483" s="743">
        <f t="shared" si="28"/>
        <v>0</v>
      </c>
      <c r="J483" s="743"/>
      <c r="K483" s="869"/>
      <c r="L483" s="749"/>
      <c r="M483" s="869"/>
      <c r="N483" s="749"/>
      <c r="O483" s="749"/>
    </row>
    <row r="484" spans="3:15">
      <c r="C484" s="739">
        <f>IF(D453="","-",+C483+1)</f>
        <v>2038</v>
      </c>
      <c r="D484" s="691">
        <f t="shared" si="25"/>
        <v>301382.14842105308</v>
      </c>
      <c r="E484" s="746">
        <f t="shared" si="29"/>
        <v>21527.296315789474</v>
      </c>
      <c r="F484" s="691">
        <f t="shared" si="24"/>
        <v>279854.85210526362</v>
      </c>
      <c r="G484" s="1230">
        <f t="shared" si="26"/>
        <v>55846.253920985648</v>
      </c>
      <c r="H484" s="1233">
        <f t="shared" si="27"/>
        <v>55846.253920985648</v>
      </c>
      <c r="I484" s="743">
        <f t="shared" si="28"/>
        <v>0</v>
      </c>
      <c r="J484" s="743"/>
      <c r="K484" s="869"/>
      <c r="L484" s="749"/>
      <c r="M484" s="869"/>
      <c r="N484" s="749"/>
      <c r="O484" s="749"/>
    </row>
    <row r="485" spans="3:15">
      <c r="C485" s="739">
        <f>IF(D453="","-",+C484+1)</f>
        <v>2039</v>
      </c>
      <c r="D485" s="691">
        <f t="shared" si="25"/>
        <v>279854.85210526362</v>
      </c>
      <c r="E485" s="746">
        <f t="shared" si="29"/>
        <v>21527.296315789474</v>
      </c>
      <c r="F485" s="691">
        <f t="shared" si="24"/>
        <v>258327.55578947414</v>
      </c>
      <c r="G485" s="1230">
        <f t="shared" si="26"/>
        <v>53304.10891319334</v>
      </c>
      <c r="H485" s="1233">
        <f t="shared" si="27"/>
        <v>53304.10891319334</v>
      </c>
      <c r="I485" s="743">
        <f t="shared" si="28"/>
        <v>0</v>
      </c>
      <c r="J485" s="743"/>
      <c r="K485" s="869"/>
      <c r="L485" s="749"/>
      <c r="M485" s="869"/>
      <c r="N485" s="749"/>
      <c r="O485" s="749"/>
    </row>
    <row r="486" spans="3:15">
      <c r="C486" s="739">
        <f>IF(D453="","-",+C485+1)</f>
        <v>2040</v>
      </c>
      <c r="D486" s="691">
        <f t="shared" si="25"/>
        <v>258327.55578947414</v>
      </c>
      <c r="E486" s="746">
        <f t="shared" si="29"/>
        <v>21527.296315789474</v>
      </c>
      <c r="F486" s="691">
        <f t="shared" si="24"/>
        <v>236800.25947368465</v>
      </c>
      <c r="G486" s="1230">
        <f t="shared" si="26"/>
        <v>50761.963905401033</v>
      </c>
      <c r="H486" s="1233">
        <f t="shared" si="27"/>
        <v>50761.963905401033</v>
      </c>
      <c r="I486" s="743">
        <f t="shared" si="28"/>
        <v>0</v>
      </c>
      <c r="J486" s="743"/>
      <c r="K486" s="869"/>
      <c r="L486" s="749"/>
      <c r="M486" s="869"/>
      <c r="N486" s="749"/>
      <c r="O486" s="749"/>
    </row>
    <row r="487" spans="3:15">
      <c r="C487" s="739">
        <f>IF(D453="","-",+C486+1)</f>
        <v>2041</v>
      </c>
      <c r="D487" s="691">
        <f t="shared" si="25"/>
        <v>236800.25947368465</v>
      </c>
      <c r="E487" s="746">
        <f t="shared" si="29"/>
        <v>21527.296315789474</v>
      </c>
      <c r="F487" s="691">
        <f t="shared" si="24"/>
        <v>215272.96315789517</v>
      </c>
      <c r="G487" s="1240">
        <f t="shared" si="26"/>
        <v>48219.818897608726</v>
      </c>
      <c r="H487" s="1233">
        <f t="shared" si="27"/>
        <v>48219.818897608726</v>
      </c>
      <c r="I487" s="743">
        <f t="shared" si="28"/>
        <v>0</v>
      </c>
      <c r="J487" s="743"/>
      <c r="K487" s="869"/>
      <c r="L487" s="749"/>
      <c r="M487" s="869"/>
      <c r="N487" s="749"/>
      <c r="O487" s="749"/>
    </row>
    <row r="488" spans="3:15">
      <c r="C488" s="739">
        <f>IF(D453="","-",+C487+1)</f>
        <v>2042</v>
      </c>
      <c r="D488" s="691">
        <f t="shared" si="25"/>
        <v>215272.96315789517</v>
      </c>
      <c r="E488" s="746">
        <f t="shared" si="29"/>
        <v>21527.296315789474</v>
      </c>
      <c r="F488" s="691">
        <f t="shared" si="24"/>
        <v>193745.66684210568</v>
      </c>
      <c r="G488" s="1230">
        <f t="shared" si="26"/>
        <v>45677.673889816419</v>
      </c>
      <c r="H488" s="1233">
        <f t="shared" si="27"/>
        <v>45677.673889816419</v>
      </c>
      <c r="I488" s="743">
        <f t="shared" si="28"/>
        <v>0</v>
      </c>
      <c r="J488" s="743"/>
      <c r="K488" s="869"/>
      <c r="L488" s="749"/>
      <c r="M488" s="869"/>
      <c r="N488" s="749"/>
      <c r="O488" s="749"/>
    </row>
    <row r="489" spans="3:15">
      <c r="C489" s="739">
        <f>IF(D453="","-",+C488+1)</f>
        <v>2043</v>
      </c>
      <c r="D489" s="691">
        <f t="shared" si="25"/>
        <v>193745.66684210568</v>
      </c>
      <c r="E489" s="746">
        <f t="shared" si="29"/>
        <v>21527.296315789474</v>
      </c>
      <c r="F489" s="691">
        <f t="shared" si="24"/>
        <v>172218.3705263162</v>
      </c>
      <c r="G489" s="1230">
        <f t="shared" si="26"/>
        <v>43135.528882024111</v>
      </c>
      <c r="H489" s="1233">
        <f t="shared" si="27"/>
        <v>43135.528882024111</v>
      </c>
      <c r="I489" s="743">
        <f t="shared" si="28"/>
        <v>0</v>
      </c>
      <c r="J489" s="743"/>
      <c r="K489" s="869"/>
      <c r="L489" s="749"/>
      <c r="M489" s="869"/>
      <c r="N489" s="749"/>
      <c r="O489" s="749"/>
    </row>
    <row r="490" spans="3:15">
      <c r="C490" s="739">
        <f>IF(D453="","-",+C489+1)</f>
        <v>2044</v>
      </c>
      <c r="D490" s="691">
        <f t="shared" si="25"/>
        <v>172218.3705263162</v>
      </c>
      <c r="E490" s="746">
        <f t="shared" si="29"/>
        <v>21527.296315789474</v>
      </c>
      <c r="F490" s="691">
        <f t="shared" si="24"/>
        <v>150691.07421052671</v>
      </c>
      <c r="G490" s="1230">
        <f t="shared" si="26"/>
        <v>40593.383874231804</v>
      </c>
      <c r="H490" s="1233">
        <f t="shared" si="27"/>
        <v>40593.383874231804</v>
      </c>
      <c r="I490" s="743">
        <f t="shared" si="28"/>
        <v>0</v>
      </c>
      <c r="J490" s="743"/>
      <c r="K490" s="869"/>
      <c r="L490" s="749"/>
      <c r="M490" s="869"/>
      <c r="N490" s="749"/>
      <c r="O490" s="749"/>
    </row>
    <row r="491" spans="3:15">
      <c r="C491" s="739">
        <f>IF(D453="","-",+C490+1)</f>
        <v>2045</v>
      </c>
      <c r="D491" s="691">
        <f t="shared" si="25"/>
        <v>150691.07421052671</v>
      </c>
      <c r="E491" s="746">
        <f t="shared" si="29"/>
        <v>21527.296315789474</v>
      </c>
      <c r="F491" s="691">
        <f t="shared" si="24"/>
        <v>129163.77789473724</v>
      </c>
      <c r="G491" s="1230">
        <f t="shared" si="26"/>
        <v>38051.238866439504</v>
      </c>
      <c r="H491" s="1233">
        <f t="shared" si="27"/>
        <v>38051.238866439504</v>
      </c>
      <c r="I491" s="743">
        <f t="shared" si="28"/>
        <v>0</v>
      </c>
      <c r="J491" s="743"/>
      <c r="K491" s="869"/>
      <c r="L491" s="749"/>
      <c r="M491" s="869"/>
      <c r="N491" s="749"/>
      <c r="O491" s="749"/>
    </row>
    <row r="492" spans="3:15">
      <c r="C492" s="739">
        <f>IF(D453="","-",+C491+1)</f>
        <v>2046</v>
      </c>
      <c r="D492" s="691">
        <f t="shared" si="25"/>
        <v>129163.77789473724</v>
      </c>
      <c r="E492" s="746">
        <f t="shared" si="29"/>
        <v>21527.296315789474</v>
      </c>
      <c r="F492" s="691">
        <f t="shared" si="24"/>
        <v>107636.48157894777</v>
      </c>
      <c r="G492" s="1230">
        <f t="shared" si="26"/>
        <v>35509.093858647197</v>
      </c>
      <c r="H492" s="1233">
        <f t="shared" si="27"/>
        <v>35509.093858647197</v>
      </c>
      <c r="I492" s="743">
        <f t="shared" si="28"/>
        <v>0</v>
      </c>
      <c r="J492" s="743"/>
      <c r="K492" s="869"/>
      <c r="L492" s="749"/>
      <c r="M492" s="869"/>
      <c r="N492" s="749"/>
      <c r="O492" s="749"/>
    </row>
    <row r="493" spans="3:15">
      <c r="C493" s="739">
        <f>IF(D453="","-",+C492+1)</f>
        <v>2047</v>
      </c>
      <c r="D493" s="691">
        <f t="shared" si="25"/>
        <v>107636.48157894777</v>
      </c>
      <c r="E493" s="746">
        <f t="shared" si="29"/>
        <v>21527.296315789474</v>
      </c>
      <c r="F493" s="691">
        <f t="shared" si="24"/>
        <v>86109.185263158302</v>
      </c>
      <c r="G493" s="1230">
        <f t="shared" si="26"/>
        <v>32966.948850854897</v>
      </c>
      <c r="H493" s="1233">
        <f t="shared" si="27"/>
        <v>32966.948850854897</v>
      </c>
      <c r="I493" s="743">
        <f t="shared" si="28"/>
        <v>0</v>
      </c>
      <c r="J493" s="743"/>
      <c r="K493" s="869"/>
      <c r="L493" s="749"/>
      <c r="M493" s="869"/>
      <c r="N493" s="749"/>
      <c r="O493" s="749"/>
    </row>
    <row r="494" spans="3:15">
      <c r="C494" s="739">
        <f>IF(D453="","-",+C493+1)</f>
        <v>2048</v>
      </c>
      <c r="D494" s="691">
        <f t="shared" si="25"/>
        <v>86109.185263158302</v>
      </c>
      <c r="E494" s="746">
        <f t="shared" si="29"/>
        <v>21527.296315789474</v>
      </c>
      <c r="F494" s="691">
        <f t="shared" si="24"/>
        <v>64581.888947368832</v>
      </c>
      <c r="G494" s="1230">
        <f t="shared" si="26"/>
        <v>30424.803843062589</v>
      </c>
      <c r="H494" s="1233">
        <f t="shared" si="27"/>
        <v>30424.803843062589</v>
      </c>
      <c r="I494" s="743">
        <f t="shared" si="28"/>
        <v>0</v>
      </c>
      <c r="J494" s="743"/>
      <c r="K494" s="869"/>
      <c r="L494" s="749"/>
      <c r="M494" s="869"/>
      <c r="N494" s="749"/>
      <c r="O494" s="749"/>
    </row>
    <row r="495" spans="3:15">
      <c r="C495" s="739">
        <f>IF(D453="","-",+C494+1)</f>
        <v>2049</v>
      </c>
      <c r="D495" s="691">
        <f t="shared" si="25"/>
        <v>64581.888947368832</v>
      </c>
      <c r="E495" s="746">
        <f t="shared" si="29"/>
        <v>21527.296315789474</v>
      </c>
      <c r="F495" s="691">
        <f t="shared" si="24"/>
        <v>43054.592631579362</v>
      </c>
      <c r="G495" s="1230">
        <f t="shared" si="26"/>
        <v>27882.658835270286</v>
      </c>
      <c r="H495" s="1233">
        <f t="shared" si="27"/>
        <v>27882.658835270286</v>
      </c>
      <c r="I495" s="743">
        <f t="shared" si="28"/>
        <v>0</v>
      </c>
      <c r="J495" s="743"/>
      <c r="K495" s="869"/>
      <c r="L495" s="749"/>
      <c r="M495" s="869"/>
      <c r="N495" s="749"/>
      <c r="O495" s="749"/>
    </row>
    <row r="496" spans="3:15">
      <c r="C496" s="739">
        <f>IF(D453="","-",+C495+1)</f>
        <v>2050</v>
      </c>
      <c r="D496" s="691">
        <f t="shared" si="25"/>
        <v>43054.592631579362</v>
      </c>
      <c r="E496" s="746">
        <f t="shared" si="29"/>
        <v>21527.296315789474</v>
      </c>
      <c r="F496" s="691">
        <f t="shared" si="24"/>
        <v>21527.296315789888</v>
      </c>
      <c r="G496" s="1230">
        <f t="shared" si="26"/>
        <v>25340.513827477982</v>
      </c>
      <c r="H496" s="1233">
        <f t="shared" si="27"/>
        <v>25340.513827477982</v>
      </c>
      <c r="I496" s="743">
        <f t="shared" si="28"/>
        <v>0</v>
      </c>
      <c r="J496" s="743"/>
      <c r="K496" s="869"/>
      <c r="L496" s="749"/>
      <c r="M496" s="869"/>
      <c r="N496" s="749"/>
      <c r="O496" s="749"/>
    </row>
    <row r="497" spans="3:15">
      <c r="C497" s="739">
        <f>IF(D453="","-",+C496+1)</f>
        <v>2051</v>
      </c>
      <c r="D497" s="691">
        <f t="shared" si="25"/>
        <v>21527.296315789888</v>
      </c>
      <c r="E497" s="746">
        <f t="shared" si="29"/>
        <v>21527.296315789474</v>
      </c>
      <c r="F497" s="691">
        <f t="shared" si="24"/>
        <v>4.1472958400845528E-10</v>
      </c>
      <c r="G497" s="1230">
        <f t="shared" si="26"/>
        <v>22798.368819685675</v>
      </c>
      <c r="H497" s="1233">
        <f t="shared" si="27"/>
        <v>22798.368819685675</v>
      </c>
      <c r="I497" s="743">
        <f t="shared" si="28"/>
        <v>0</v>
      </c>
      <c r="J497" s="743"/>
      <c r="K497" s="869"/>
      <c r="L497" s="749"/>
      <c r="M497" s="869"/>
      <c r="N497" s="749"/>
      <c r="O497" s="749"/>
    </row>
    <row r="498" spans="3:15">
      <c r="C498" s="739">
        <f>IF(D453="","-",+C497+1)</f>
        <v>2052</v>
      </c>
      <c r="D498" s="691">
        <f t="shared" si="25"/>
        <v>4.1472958400845528E-10</v>
      </c>
      <c r="E498" s="746">
        <f t="shared" si="29"/>
        <v>4.1472958400845528E-10</v>
      </c>
      <c r="F498" s="691">
        <f t="shared" si="24"/>
        <v>0</v>
      </c>
      <c r="G498" s="1230">
        <f t="shared" si="26"/>
        <v>4.3921716308259988E-10</v>
      </c>
      <c r="H498" s="1233">
        <f t="shared" si="27"/>
        <v>4.3921716308259988E-10</v>
      </c>
      <c r="I498" s="743">
        <f t="shared" si="28"/>
        <v>0</v>
      </c>
      <c r="J498" s="743"/>
      <c r="K498" s="869"/>
      <c r="L498" s="749"/>
      <c r="M498" s="869"/>
      <c r="N498" s="749"/>
      <c r="O498" s="749"/>
    </row>
    <row r="499" spans="3:15">
      <c r="C499" s="739">
        <f>IF(D453="","-",+C498+1)</f>
        <v>2053</v>
      </c>
      <c r="D499" s="691">
        <f t="shared" si="25"/>
        <v>0</v>
      </c>
      <c r="E499" s="746">
        <f t="shared" si="29"/>
        <v>0</v>
      </c>
      <c r="F499" s="691">
        <f t="shared" si="24"/>
        <v>0</v>
      </c>
      <c r="G499" s="1230">
        <f t="shared" si="26"/>
        <v>0</v>
      </c>
      <c r="H499" s="1233">
        <f t="shared" si="27"/>
        <v>0</v>
      </c>
      <c r="I499" s="743">
        <f t="shared" si="28"/>
        <v>0</v>
      </c>
      <c r="J499" s="743"/>
      <c r="K499" s="869"/>
      <c r="L499" s="749"/>
      <c r="M499" s="869"/>
      <c r="N499" s="749"/>
      <c r="O499" s="749"/>
    </row>
    <row r="500" spans="3:15">
      <c r="C500" s="739">
        <f>IF(D453="","-",+C499+1)</f>
        <v>2054</v>
      </c>
      <c r="D500" s="691">
        <f t="shared" si="25"/>
        <v>0</v>
      </c>
      <c r="E500" s="746">
        <f t="shared" si="29"/>
        <v>0</v>
      </c>
      <c r="F500" s="691">
        <f t="shared" si="24"/>
        <v>0</v>
      </c>
      <c r="G500" s="1230">
        <f t="shared" si="26"/>
        <v>0</v>
      </c>
      <c r="H500" s="1233">
        <f t="shared" si="27"/>
        <v>0</v>
      </c>
      <c r="I500" s="743">
        <f t="shared" si="28"/>
        <v>0</v>
      </c>
      <c r="J500" s="743"/>
      <c r="K500" s="869"/>
      <c r="L500" s="749"/>
      <c r="M500" s="869"/>
      <c r="N500" s="749"/>
      <c r="O500" s="749"/>
    </row>
    <row r="501" spans="3:15">
      <c r="C501" s="739">
        <f>IF(D453="","-",+C500+1)</f>
        <v>2055</v>
      </c>
      <c r="D501" s="691">
        <f t="shared" si="25"/>
        <v>0</v>
      </c>
      <c r="E501" s="746">
        <f t="shared" si="29"/>
        <v>0</v>
      </c>
      <c r="F501" s="691">
        <f t="shared" si="24"/>
        <v>0</v>
      </c>
      <c r="G501" s="1230">
        <f t="shared" si="26"/>
        <v>0</v>
      </c>
      <c r="H501" s="1233">
        <f t="shared" si="27"/>
        <v>0</v>
      </c>
      <c r="I501" s="743">
        <f t="shared" si="28"/>
        <v>0</v>
      </c>
      <c r="J501" s="743"/>
      <c r="K501" s="869"/>
      <c r="L501" s="749"/>
      <c r="M501" s="869"/>
      <c r="N501" s="749"/>
      <c r="O501" s="749"/>
    </row>
    <row r="502" spans="3:15">
      <c r="C502" s="739">
        <f>IF(D453="","-",+C501+1)</f>
        <v>2056</v>
      </c>
      <c r="D502" s="691">
        <f t="shared" si="25"/>
        <v>0</v>
      </c>
      <c r="E502" s="746">
        <f t="shared" si="29"/>
        <v>0</v>
      </c>
      <c r="F502" s="691">
        <f t="shared" si="24"/>
        <v>0</v>
      </c>
      <c r="G502" s="1230">
        <f t="shared" si="26"/>
        <v>0</v>
      </c>
      <c r="H502" s="1233">
        <f t="shared" si="27"/>
        <v>0</v>
      </c>
      <c r="I502" s="743">
        <f t="shared" si="28"/>
        <v>0</v>
      </c>
      <c r="J502" s="743"/>
      <c r="K502" s="869"/>
      <c r="L502" s="749"/>
      <c r="M502" s="869"/>
      <c r="N502" s="749"/>
      <c r="O502" s="749"/>
    </row>
    <row r="503" spans="3:15">
      <c r="C503" s="739">
        <f>IF(D453="","-",+C502+1)</f>
        <v>2057</v>
      </c>
      <c r="D503" s="691">
        <f t="shared" si="25"/>
        <v>0</v>
      </c>
      <c r="E503" s="746">
        <f t="shared" si="29"/>
        <v>0</v>
      </c>
      <c r="F503" s="691">
        <f t="shared" si="24"/>
        <v>0</v>
      </c>
      <c r="G503" s="1230">
        <f t="shared" si="26"/>
        <v>0</v>
      </c>
      <c r="H503" s="1233">
        <f t="shared" si="27"/>
        <v>0</v>
      </c>
      <c r="I503" s="743">
        <f t="shared" si="28"/>
        <v>0</v>
      </c>
      <c r="J503" s="743"/>
      <c r="K503" s="869"/>
      <c r="L503" s="749"/>
      <c r="M503" s="869"/>
      <c r="N503" s="749"/>
      <c r="O503" s="749"/>
    </row>
    <row r="504" spans="3:15">
      <c r="C504" s="739">
        <f>IF(D453="","-",+C503+1)</f>
        <v>2058</v>
      </c>
      <c r="D504" s="691">
        <f t="shared" si="25"/>
        <v>0</v>
      </c>
      <c r="E504" s="746">
        <f t="shared" si="29"/>
        <v>0</v>
      </c>
      <c r="F504" s="691">
        <f t="shared" si="24"/>
        <v>0</v>
      </c>
      <c r="G504" s="1230">
        <f t="shared" si="26"/>
        <v>0</v>
      </c>
      <c r="H504" s="1233">
        <f t="shared" si="27"/>
        <v>0</v>
      </c>
      <c r="I504" s="743">
        <f t="shared" si="28"/>
        <v>0</v>
      </c>
      <c r="J504" s="743"/>
      <c r="K504" s="869"/>
      <c r="L504" s="749"/>
      <c r="M504" s="869"/>
      <c r="N504" s="749"/>
      <c r="O504" s="749"/>
    </row>
    <row r="505" spans="3:15">
      <c r="C505" s="739">
        <f>IF(D453="","-",+C504+1)</f>
        <v>2059</v>
      </c>
      <c r="D505" s="691">
        <f t="shared" si="25"/>
        <v>0</v>
      </c>
      <c r="E505" s="746">
        <f t="shared" si="29"/>
        <v>0</v>
      </c>
      <c r="F505" s="691">
        <f t="shared" si="24"/>
        <v>0</v>
      </c>
      <c r="G505" s="1230">
        <f t="shared" si="26"/>
        <v>0</v>
      </c>
      <c r="H505" s="1233">
        <f t="shared" si="27"/>
        <v>0</v>
      </c>
      <c r="I505" s="743">
        <f t="shared" si="28"/>
        <v>0</v>
      </c>
      <c r="J505" s="743"/>
      <c r="K505" s="869"/>
      <c r="L505" s="749"/>
      <c r="M505" s="869"/>
      <c r="N505" s="749"/>
      <c r="O505" s="749"/>
    </row>
    <row r="506" spans="3:15">
      <c r="C506" s="739">
        <f>IF(D453="","-",+C505+1)</f>
        <v>2060</v>
      </c>
      <c r="D506" s="691">
        <f t="shared" si="25"/>
        <v>0</v>
      </c>
      <c r="E506" s="746">
        <f t="shared" si="29"/>
        <v>0</v>
      </c>
      <c r="F506" s="691">
        <f t="shared" si="24"/>
        <v>0</v>
      </c>
      <c r="G506" s="1230">
        <f t="shared" si="26"/>
        <v>0</v>
      </c>
      <c r="H506" s="1233">
        <f t="shared" si="27"/>
        <v>0</v>
      </c>
      <c r="I506" s="743">
        <f t="shared" si="28"/>
        <v>0</v>
      </c>
      <c r="J506" s="743"/>
      <c r="K506" s="869"/>
      <c r="L506" s="749"/>
      <c r="M506" s="869"/>
      <c r="N506" s="749"/>
      <c r="O506" s="749"/>
    </row>
    <row r="507" spans="3:15">
      <c r="C507" s="739">
        <f>IF(D453="","-",+C506+1)</f>
        <v>2061</v>
      </c>
      <c r="D507" s="691">
        <f t="shared" si="25"/>
        <v>0</v>
      </c>
      <c r="E507" s="746">
        <f t="shared" si="29"/>
        <v>0</v>
      </c>
      <c r="F507" s="691">
        <f t="shared" si="24"/>
        <v>0</v>
      </c>
      <c r="G507" s="1230">
        <f t="shared" si="26"/>
        <v>0</v>
      </c>
      <c r="H507" s="1233">
        <f t="shared" si="27"/>
        <v>0</v>
      </c>
      <c r="I507" s="743">
        <f t="shared" si="28"/>
        <v>0</v>
      </c>
      <c r="J507" s="743"/>
      <c r="K507" s="869"/>
      <c r="L507" s="749"/>
      <c r="M507" s="869"/>
      <c r="N507" s="749"/>
      <c r="O507" s="749"/>
    </row>
    <row r="508" spans="3:15">
      <c r="C508" s="739">
        <f>IF(D453="","-",+C507+1)</f>
        <v>2062</v>
      </c>
      <c r="D508" s="691">
        <f t="shared" si="25"/>
        <v>0</v>
      </c>
      <c r="E508" s="746">
        <f t="shared" si="29"/>
        <v>0</v>
      </c>
      <c r="F508" s="691">
        <f t="shared" si="24"/>
        <v>0</v>
      </c>
      <c r="G508" s="1230">
        <f t="shared" si="26"/>
        <v>0</v>
      </c>
      <c r="H508" s="1233">
        <f t="shared" si="27"/>
        <v>0</v>
      </c>
      <c r="I508" s="743">
        <f t="shared" si="28"/>
        <v>0</v>
      </c>
      <c r="J508" s="743"/>
      <c r="K508" s="869"/>
      <c r="L508" s="749"/>
      <c r="M508" s="869"/>
      <c r="N508" s="749"/>
      <c r="O508" s="749"/>
    </row>
    <row r="509" spans="3:15">
      <c r="C509" s="739">
        <f>IF(D453="","-",+C508+1)</f>
        <v>2063</v>
      </c>
      <c r="D509" s="691">
        <f t="shared" si="25"/>
        <v>0</v>
      </c>
      <c r="E509" s="746">
        <f t="shared" si="29"/>
        <v>0</v>
      </c>
      <c r="F509" s="691">
        <f t="shared" si="24"/>
        <v>0</v>
      </c>
      <c r="G509" s="1230">
        <f t="shared" si="26"/>
        <v>0</v>
      </c>
      <c r="H509" s="1233">
        <f t="shared" si="27"/>
        <v>0</v>
      </c>
      <c r="I509" s="743">
        <f t="shared" si="28"/>
        <v>0</v>
      </c>
      <c r="J509" s="743"/>
      <c r="K509" s="869"/>
      <c r="L509" s="749"/>
      <c r="M509" s="869"/>
      <c r="N509" s="749"/>
      <c r="O509" s="749"/>
    </row>
    <row r="510" spans="3:15">
      <c r="C510" s="739">
        <f>IF(D453="","-",+C509+1)</f>
        <v>2064</v>
      </c>
      <c r="D510" s="691">
        <f t="shared" si="25"/>
        <v>0</v>
      </c>
      <c r="E510" s="746">
        <f t="shared" si="29"/>
        <v>0</v>
      </c>
      <c r="F510" s="691">
        <f t="shared" si="24"/>
        <v>0</v>
      </c>
      <c r="G510" s="1230">
        <f t="shared" si="26"/>
        <v>0</v>
      </c>
      <c r="H510" s="1233">
        <f t="shared" si="27"/>
        <v>0</v>
      </c>
      <c r="I510" s="743">
        <f t="shared" si="28"/>
        <v>0</v>
      </c>
      <c r="J510" s="743"/>
      <c r="K510" s="869"/>
      <c r="L510" s="749"/>
      <c r="M510" s="869"/>
      <c r="N510" s="749"/>
      <c r="O510" s="749"/>
    </row>
    <row r="511" spans="3:15">
      <c r="C511" s="739">
        <f>IF(D453="","-",+C510+1)</f>
        <v>2065</v>
      </c>
      <c r="D511" s="691">
        <f t="shared" si="25"/>
        <v>0</v>
      </c>
      <c r="E511" s="746">
        <f t="shared" si="29"/>
        <v>0</v>
      </c>
      <c r="F511" s="691">
        <f t="shared" si="24"/>
        <v>0</v>
      </c>
      <c r="G511" s="1230">
        <f t="shared" si="26"/>
        <v>0</v>
      </c>
      <c r="H511" s="1233">
        <f t="shared" si="27"/>
        <v>0</v>
      </c>
      <c r="I511" s="743">
        <f t="shared" si="28"/>
        <v>0</v>
      </c>
      <c r="J511" s="743"/>
      <c r="K511" s="869"/>
      <c r="L511" s="749"/>
      <c r="M511" s="869"/>
      <c r="N511" s="749"/>
      <c r="O511" s="749"/>
    </row>
    <row r="512" spans="3:15">
      <c r="C512" s="739">
        <f>IF(D453="","-",+C511+1)</f>
        <v>2066</v>
      </c>
      <c r="D512" s="691">
        <f t="shared" si="25"/>
        <v>0</v>
      </c>
      <c r="E512" s="746">
        <f t="shared" si="29"/>
        <v>0</v>
      </c>
      <c r="F512" s="691">
        <f t="shared" si="24"/>
        <v>0</v>
      </c>
      <c r="G512" s="1230">
        <f t="shared" si="26"/>
        <v>0</v>
      </c>
      <c r="H512" s="1233">
        <f t="shared" si="27"/>
        <v>0</v>
      </c>
      <c r="I512" s="743">
        <f t="shared" si="28"/>
        <v>0</v>
      </c>
      <c r="J512" s="743"/>
      <c r="K512" s="869"/>
      <c r="L512" s="749"/>
      <c r="M512" s="869"/>
      <c r="N512" s="749"/>
      <c r="O512" s="749"/>
    </row>
    <row r="513" spans="3:15">
      <c r="C513" s="739">
        <f>IF(D453="","-",+C512+1)</f>
        <v>2067</v>
      </c>
      <c r="D513" s="691">
        <f t="shared" si="25"/>
        <v>0</v>
      </c>
      <c r="E513" s="746">
        <f t="shared" si="29"/>
        <v>0</v>
      </c>
      <c r="F513" s="691">
        <f t="shared" si="24"/>
        <v>0</v>
      </c>
      <c r="G513" s="1230">
        <f t="shared" si="26"/>
        <v>0</v>
      </c>
      <c r="H513" s="1233">
        <f t="shared" si="27"/>
        <v>0</v>
      </c>
      <c r="I513" s="743">
        <f t="shared" si="28"/>
        <v>0</v>
      </c>
      <c r="J513" s="743"/>
      <c r="K513" s="869"/>
      <c r="L513" s="749"/>
      <c r="M513" s="869"/>
      <c r="N513" s="749"/>
      <c r="O513" s="749"/>
    </row>
    <row r="514" spans="3:15">
      <c r="C514" s="739">
        <f>IF(D453="","-",+C513+1)</f>
        <v>2068</v>
      </c>
      <c r="D514" s="691">
        <f t="shared" si="25"/>
        <v>0</v>
      </c>
      <c r="E514" s="746">
        <f t="shared" si="29"/>
        <v>0</v>
      </c>
      <c r="F514" s="691">
        <f t="shared" si="24"/>
        <v>0</v>
      </c>
      <c r="G514" s="1230">
        <f t="shared" si="26"/>
        <v>0</v>
      </c>
      <c r="H514" s="1233">
        <f t="shared" si="27"/>
        <v>0</v>
      </c>
      <c r="I514" s="743">
        <f t="shared" si="28"/>
        <v>0</v>
      </c>
      <c r="J514" s="743"/>
      <c r="K514" s="869"/>
      <c r="L514" s="749"/>
      <c r="M514" s="869"/>
      <c r="N514" s="749"/>
      <c r="O514" s="749"/>
    </row>
    <row r="515" spans="3:15">
      <c r="C515" s="739">
        <f>IF(D453="","-",+C514+1)</f>
        <v>2069</v>
      </c>
      <c r="D515" s="691">
        <f t="shared" si="25"/>
        <v>0</v>
      </c>
      <c r="E515" s="746">
        <f t="shared" si="29"/>
        <v>0</v>
      </c>
      <c r="F515" s="691">
        <f t="shared" si="24"/>
        <v>0</v>
      </c>
      <c r="G515" s="1230">
        <f t="shared" si="26"/>
        <v>0</v>
      </c>
      <c r="H515" s="1233">
        <f t="shared" si="27"/>
        <v>0</v>
      </c>
      <c r="I515" s="743">
        <f t="shared" si="28"/>
        <v>0</v>
      </c>
      <c r="J515" s="743"/>
      <c r="K515" s="869"/>
      <c r="L515" s="749"/>
      <c r="M515" s="869"/>
      <c r="N515" s="749"/>
      <c r="O515" s="749"/>
    </row>
    <row r="516" spans="3:15">
      <c r="C516" s="739">
        <f>IF(D453="","-",+C515+1)</f>
        <v>2070</v>
      </c>
      <c r="D516" s="691">
        <f t="shared" si="25"/>
        <v>0</v>
      </c>
      <c r="E516" s="746">
        <f t="shared" si="29"/>
        <v>0</v>
      </c>
      <c r="F516" s="691">
        <f t="shared" si="24"/>
        <v>0</v>
      </c>
      <c r="G516" s="1230">
        <f t="shared" si="26"/>
        <v>0</v>
      </c>
      <c r="H516" s="1233">
        <f t="shared" si="27"/>
        <v>0</v>
      </c>
      <c r="I516" s="743">
        <f t="shared" si="28"/>
        <v>0</v>
      </c>
      <c r="J516" s="743"/>
      <c r="K516" s="869"/>
      <c r="L516" s="749"/>
      <c r="M516" s="869"/>
      <c r="N516" s="749"/>
      <c r="O516" s="749"/>
    </row>
    <row r="517" spans="3:15">
      <c r="C517" s="739">
        <f>IF(D453="","-",+C516+1)</f>
        <v>2071</v>
      </c>
      <c r="D517" s="691">
        <f t="shared" si="25"/>
        <v>0</v>
      </c>
      <c r="E517" s="746">
        <f t="shared" si="29"/>
        <v>0</v>
      </c>
      <c r="F517" s="691">
        <f t="shared" si="24"/>
        <v>0</v>
      </c>
      <c r="G517" s="1230">
        <f t="shared" si="26"/>
        <v>0</v>
      </c>
      <c r="H517" s="1233">
        <f t="shared" si="27"/>
        <v>0</v>
      </c>
      <c r="I517" s="743">
        <f t="shared" si="28"/>
        <v>0</v>
      </c>
      <c r="J517" s="743"/>
      <c r="K517" s="869"/>
      <c r="L517" s="749"/>
      <c r="M517" s="869"/>
      <c r="N517" s="749"/>
      <c r="O517" s="749"/>
    </row>
    <row r="518" spans="3:15" ht="13.5" thickBot="1">
      <c r="C518" s="750">
        <f>IF(D453="","-",+C517+1)</f>
        <v>2072</v>
      </c>
      <c r="D518" s="751">
        <f t="shared" si="25"/>
        <v>0</v>
      </c>
      <c r="E518" s="752">
        <f t="shared" si="29"/>
        <v>0</v>
      </c>
      <c r="F518" s="751">
        <f t="shared" si="24"/>
        <v>0</v>
      </c>
      <c r="G518" s="1241">
        <f t="shared" si="26"/>
        <v>0</v>
      </c>
      <c r="H518" s="1241">
        <f t="shared" si="27"/>
        <v>0</v>
      </c>
      <c r="I518" s="754">
        <f t="shared" si="28"/>
        <v>0</v>
      </c>
      <c r="J518" s="743"/>
      <c r="K518" s="870"/>
      <c r="L518" s="756"/>
      <c r="M518" s="870"/>
      <c r="N518" s="756"/>
      <c r="O518" s="756"/>
    </row>
    <row r="519" spans="3:15">
      <c r="C519" s="691" t="s">
        <v>289</v>
      </c>
      <c r="D519" s="1211"/>
      <c r="E519" s="1211">
        <f>SUM(E459:E518)</f>
        <v>818037.26000000013</v>
      </c>
      <c r="F519" s="1211"/>
      <c r="G519" s="1211">
        <f>SUM(G459:G518)</f>
        <v>2750067.4659221536</v>
      </c>
      <c r="H519" s="1211">
        <f>SUM(H459:H518)</f>
        <v>2750067.4659221536</v>
      </c>
      <c r="I519" s="1211">
        <f>SUM(I459:I518)</f>
        <v>0</v>
      </c>
      <c r="J519" s="1211"/>
      <c r="K519" s="1211"/>
      <c r="L519" s="1211"/>
      <c r="M519" s="1211"/>
      <c r="N519" s="1211"/>
      <c r="O519" s="558"/>
    </row>
    <row r="520" spans="3:15">
      <c r="D520" s="581"/>
      <c r="E520" s="558"/>
      <c r="F520" s="558"/>
      <c r="G520" s="558"/>
      <c r="H520" s="1210"/>
      <c r="I520" s="1210"/>
      <c r="J520" s="1211"/>
      <c r="K520" s="1210"/>
      <c r="L520" s="1210"/>
      <c r="M520" s="1210"/>
      <c r="N520" s="1210"/>
      <c r="O520" s="558"/>
    </row>
    <row r="521" spans="3:15">
      <c r="C521" s="1242" t="s">
        <v>926</v>
      </c>
      <c r="D521" s="581"/>
      <c r="E521" s="558"/>
      <c r="F521" s="558"/>
      <c r="G521" s="558"/>
      <c r="H521" s="1210"/>
      <c r="I521" s="1210"/>
      <c r="J521" s="1211"/>
      <c r="K521" s="1210"/>
      <c r="L521" s="1210"/>
      <c r="M521" s="1210"/>
      <c r="N521" s="1210"/>
      <c r="O521" s="558"/>
    </row>
    <row r="522" spans="3:15">
      <c r="D522" s="581"/>
      <c r="E522" s="558"/>
      <c r="F522" s="558"/>
      <c r="G522" s="558"/>
      <c r="H522" s="1210"/>
      <c r="I522" s="1210"/>
      <c r="J522" s="1211"/>
      <c r="K522" s="1210"/>
      <c r="L522" s="1210"/>
      <c r="M522" s="1210"/>
      <c r="N522" s="1210"/>
      <c r="O522" s="558"/>
    </row>
    <row r="523" spans="3:15">
      <c r="C523" s="704" t="s">
        <v>927</v>
      </c>
      <c r="D523" s="691"/>
      <c r="E523" s="691"/>
      <c r="F523" s="691"/>
      <c r="G523" s="1211"/>
      <c r="H523" s="1211"/>
      <c r="I523" s="692"/>
      <c r="J523" s="692"/>
      <c r="K523" s="692"/>
      <c r="L523" s="692"/>
      <c r="M523" s="692"/>
      <c r="N523" s="692"/>
      <c r="O523" s="558"/>
    </row>
    <row r="524" spans="3:15">
      <c r="C524" s="690" t="s">
        <v>477</v>
      </c>
      <c r="D524" s="691"/>
      <c r="E524" s="691"/>
      <c r="F524" s="691"/>
      <c r="G524" s="1211"/>
      <c r="H524" s="1211"/>
      <c r="I524" s="692"/>
      <c r="J524" s="692"/>
      <c r="K524" s="692"/>
      <c r="L524" s="692"/>
      <c r="M524" s="692"/>
      <c r="N524" s="692"/>
      <c r="O524" s="558"/>
    </row>
    <row r="525" spans="3:15">
      <c r="C525" s="690" t="s">
        <v>290</v>
      </c>
      <c r="D525" s="691"/>
      <c r="E525" s="691"/>
      <c r="F525" s="691"/>
      <c r="G525" s="1211"/>
      <c r="H525" s="1211"/>
      <c r="I525" s="692"/>
      <c r="J525" s="692"/>
      <c r="K525" s="692"/>
      <c r="L525" s="692"/>
      <c r="M525" s="692"/>
      <c r="N525" s="692"/>
      <c r="O525" s="558"/>
    </row>
    <row r="526" spans="3:15">
      <c r="C526" s="690"/>
      <c r="D526" s="691"/>
      <c r="E526" s="691"/>
      <c r="F526" s="691"/>
      <c r="G526" s="1211"/>
      <c r="H526" s="1211"/>
      <c r="I526" s="692"/>
      <c r="J526" s="692"/>
      <c r="K526" s="692"/>
      <c r="L526" s="692"/>
      <c r="M526" s="692"/>
      <c r="N526" s="692"/>
      <c r="O526" s="558"/>
    </row>
    <row r="527" spans="3:15">
      <c r="C527" s="1601" t="s">
        <v>461</v>
      </c>
      <c r="D527" s="1601"/>
      <c r="E527" s="1601"/>
      <c r="F527" s="1601"/>
      <c r="G527" s="1601"/>
      <c r="H527" s="1601"/>
      <c r="I527" s="1601"/>
      <c r="J527" s="1601"/>
      <c r="K527" s="1601"/>
      <c r="L527" s="1601"/>
      <c r="M527" s="1601"/>
      <c r="N527" s="1601"/>
      <c r="O527" s="1601"/>
    </row>
    <row r="528" spans="3:15">
      <c r="C528" s="1601"/>
      <c r="D528" s="1601"/>
      <c r="E528" s="1601"/>
      <c r="F528" s="1601"/>
      <c r="G528" s="1601"/>
      <c r="H528" s="1601"/>
      <c r="I528" s="1601"/>
      <c r="J528" s="1601"/>
      <c r="K528" s="1601"/>
      <c r="L528" s="1601"/>
      <c r="M528" s="1601"/>
      <c r="N528" s="1601"/>
      <c r="O528" s="1601"/>
    </row>
    <row r="529" spans="1:16" ht="20.25">
      <c r="A529" s="693" t="s">
        <v>923</v>
      </c>
      <c r="B529" s="594"/>
      <c r="C529" s="673"/>
      <c r="D529" s="581"/>
      <c r="E529" s="558"/>
      <c r="F529" s="663"/>
      <c r="G529" s="558"/>
      <c r="H529" s="1210"/>
      <c r="K529" s="694"/>
      <c r="L529" s="694"/>
      <c r="M529" s="694"/>
      <c r="N529" s="609" t="str">
        <f>"Page "&amp;P529&amp;" of "</f>
        <v xml:space="preserve">Page 7 of </v>
      </c>
      <c r="O529" s="610">
        <f>COUNT(P$6:P$59527)</f>
        <v>10</v>
      </c>
      <c r="P529" s="558">
        <v>7</v>
      </c>
    </row>
    <row r="530" spans="1:16">
      <c r="B530" s="594"/>
      <c r="C530" s="558"/>
      <c r="D530" s="581"/>
      <c r="E530" s="558"/>
      <c r="F530" s="558"/>
      <c r="G530" s="558"/>
      <c r="H530" s="1210"/>
      <c r="I530" s="558"/>
      <c r="J530" s="606"/>
      <c r="K530" s="558"/>
      <c r="L530" s="558"/>
      <c r="M530" s="558"/>
      <c r="N530" s="558"/>
      <c r="O530" s="558"/>
    </row>
    <row r="531" spans="1:16" ht="18">
      <c r="B531" s="613" t="s">
        <v>175</v>
      </c>
      <c r="C531" s="695" t="s">
        <v>291</v>
      </c>
      <c r="D531" s="581"/>
      <c r="E531" s="558"/>
      <c r="F531" s="558"/>
      <c r="G531" s="558"/>
      <c r="H531" s="1210"/>
      <c r="I531" s="1210"/>
      <c r="J531" s="1211"/>
      <c r="K531" s="1210"/>
      <c r="L531" s="1210"/>
      <c r="M531" s="1210"/>
      <c r="N531" s="1210"/>
      <c r="O531" s="558"/>
    </row>
    <row r="532" spans="1:16" ht="18.75">
      <c r="B532" s="613"/>
      <c r="C532" s="612"/>
      <c r="D532" s="581"/>
      <c r="E532" s="558"/>
      <c r="F532" s="558"/>
      <c r="G532" s="558"/>
      <c r="H532" s="1210"/>
      <c r="I532" s="1210"/>
      <c r="J532" s="1211"/>
      <c r="K532" s="1210"/>
      <c r="L532" s="1210"/>
      <c r="M532" s="1210"/>
      <c r="N532" s="1210"/>
      <c r="O532" s="558"/>
    </row>
    <row r="533" spans="1:16" ht="18.75">
      <c r="B533" s="613"/>
      <c r="C533" s="612" t="s">
        <v>292</v>
      </c>
      <c r="D533" s="581"/>
      <c r="E533" s="558"/>
      <c r="F533" s="558"/>
      <c r="G533" s="558"/>
      <c r="H533" s="1210"/>
      <c r="I533" s="1210"/>
      <c r="J533" s="1211"/>
      <c r="K533" s="1210"/>
      <c r="L533" s="1210"/>
      <c r="M533" s="1210"/>
      <c r="N533" s="1210"/>
      <c r="O533" s="558"/>
    </row>
    <row r="534" spans="1:16" ht="15.75" thickBot="1">
      <c r="C534" s="411"/>
      <c r="D534" s="581"/>
      <c r="E534" s="558"/>
      <c r="F534" s="558"/>
      <c r="G534" s="558"/>
      <c r="H534" s="1210"/>
      <c r="I534" s="1210"/>
      <c r="J534" s="1211"/>
      <c r="K534" s="1210"/>
      <c r="L534" s="1210"/>
      <c r="M534" s="1210"/>
      <c r="N534" s="1210"/>
      <c r="O534" s="558"/>
    </row>
    <row r="535" spans="1:16" ht="15.75">
      <c r="C535" s="614" t="s">
        <v>293</v>
      </c>
      <c r="D535" s="581"/>
      <c r="E535" s="558"/>
      <c r="F535" s="558"/>
      <c r="G535" s="1212"/>
      <c r="H535" s="558" t="s">
        <v>272</v>
      </c>
      <c r="I535" s="558"/>
      <c r="J535" s="606"/>
      <c r="K535" s="696" t="s">
        <v>297</v>
      </c>
      <c r="L535" s="697"/>
      <c r="M535" s="698"/>
      <c r="N535" s="1213">
        <f>VLOOKUP(I541,C548:O607,5)</f>
        <v>1476846.6762813053</v>
      </c>
      <c r="O535" s="558"/>
    </row>
    <row r="536" spans="1:16" ht="15.75">
      <c r="C536" s="614"/>
      <c r="D536" s="581"/>
      <c r="E536" s="558"/>
      <c r="F536" s="558"/>
      <c r="G536" s="558"/>
      <c r="H536" s="1214"/>
      <c r="I536" s="1214"/>
      <c r="J536" s="1215"/>
      <c r="K536" s="701" t="s">
        <v>298</v>
      </c>
      <c r="L536" s="1216"/>
      <c r="M536" s="606"/>
      <c r="N536" s="1217">
        <f>VLOOKUP(I541,C548:O607,6)</f>
        <v>1476846.6762813053</v>
      </c>
      <c r="O536" s="558"/>
    </row>
    <row r="537" spans="1:16" ht="13.5" thickBot="1">
      <c r="C537" s="702" t="s">
        <v>294</v>
      </c>
      <c r="D537" s="1598" t="s">
        <v>932</v>
      </c>
      <c r="E537" s="1599"/>
      <c r="F537" s="1599"/>
      <c r="G537" s="1599"/>
      <c r="H537" s="1599"/>
      <c r="I537" s="1599"/>
      <c r="J537" s="1211"/>
      <c r="K537" s="1218" t="s">
        <v>451</v>
      </c>
      <c r="L537" s="1219"/>
      <c r="M537" s="1219"/>
      <c r="N537" s="1220">
        <f>+N536-N535</f>
        <v>0</v>
      </c>
      <c r="O537" s="558"/>
    </row>
    <row r="538" spans="1:16">
      <c r="C538" s="704"/>
      <c r="D538" s="1599"/>
      <c r="E538" s="1599"/>
      <c r="F538" s="1599"/>
      <c r="G538" s="1599"/>
      <c r="H538" s="1599"/>
      <c r="I538" s="1599"/>
      <c r="J538" s="1211"/>
      <c r="K538" s="1210"/>
      <c r="L538" s="1210"/>
      <c r="M538" s="1210"/>
      <c r="N538" s="1210"/>
      <c r="O538" s="558"/>
    </row>
    <row r="539" spans="1:16" ht="13.5" thickBot="1">
      <c r="C539" s="707"/>
      <c r="D539" s="708"/>
      <c r="E539" s="706"/>
      <c r="F539" s="706"/>
      <c r="G539" s="706"/>
      <c r="H539" s="706"/>
      <c r="I539" s="706"/>
      <c r="J539" s="709"/>
      <c r="K539" s="706"/>
      <c r="L539" s="706"/>
      <c r="M539" s="706"/>
      <c r="N539" s="706"/>
      <c r="O539" s="594"/>
    </row>
    <row r="540" spans="1:16" ht="13.5" thickBot="1">
      <c r="C540" s="710" t="s">
        <v>295</v>
      </c>
      <c r="D540" s="711"/>
      <c r="E540" s="711"/>
      <c r="F540" s="711"/>
      <c r="G540" s="711"/>
      <c r="H540" s="711"/>
      <c r="I540" s="712"/>
      <c r="J540" s="713"/>
      <c r="K540" s="558"/>
      <c r="L540" s="558"/>
      <c r="M540" s="558"/>
      <c r="N540" s="558"/>
      <c r="O540" s="714"/>
    </row>
    <row r="541" spans="1:16" ht="15">
      <c r="C541" s="716" t="s">
        <v>273</v>
      </c>
      <c r="D541" s="1221">
        <v>13274158.730000002</v>
      </c>
      <c r="E541" s="673" t="s">
        <v>274</v>
      </c>
      <c r="G541" s="717"/>
      <c r="H541" s="717"/>
      <c r="I541" s="718">
        <f>I452</f>
        <v>2025</v>
      </c>
      <c r="J541" s="604"/>
      <c r="K541" s="1600" t="s">
        <v>460</v>
      </c>
      <c r="L541" s="1600"/>
      <c r="M541" s="1600"/>
      <c r="N541" s="1600"/>
      <c r="O541" s="1600"/>
    </row>
    <row r="542" spans="1:16">
      <c r="C542" s="716" t="s">
        <v>276</v>
      </c>
      <c r="D542" s="864">
        <v>2014</v>
      </c>
      <c r="E542" s="716" t="s">
        <v>277</v>
      </c>
      <c r="F542" s="717"/>
      <c r="H542" s="345"/>
      <c r="I542" s="867">
        <f>IF(G535="",0,$F$15)</f>
        <v>0</v>
      </c>
      <c r="J542" s="719"/>
      <c r="K542" s="1211" t="s">
        <v>460</v>
      </c>
    </row>
    <row r="543" spans="1:16">
      <c r="C543" s="716" t="s">
        <v>278</v>
      </c>
      <c r="D543" s="1221">
        <v>10</v>
      </c>
      <c r="E543" s="716" t="s">
        <v>279</v>
      </c>
      <c r="F543" s="717"/>
      <c r="H543" s="345"/>
      <c r="I543" s="720">
        <f>$G$70</f>
        <v>0.11808937687765908</v>
      </c>
      <c r="J543" s="721"/>
      <c r="K543" s="345" t="str">
        <f>"          INPUT PROJECTED ARR (WITH &amp; WITHOUT INCENTIVES) FROM EACH PRIOR YEAR"</f>
        <v xml:space="preserve">          INPUT PROJECTED ARR (WITH &amp; WITHOUT INCENTIVES) FROM EACH PRIOR YEAR</v>
      </c>
    </row>
    <row r="544" spans="1:16">
      <c r="C544" s="716" t="s">
        <v>280</v>
      </c>
      <c r="D544" s="722">
        <f>G$79</f>
        <v>38</v>
      </c>
      <c r="E544" s="716" t="s">
        <v>281</v>
      </c>
      <c r="F544" s="717"/>
      <c r="H544" s="345"/>
      <c r="I544" s="720">
        <f>IF(G535="",I543,$G$67)</f>
        <v>0.11808937687765908</v>
      </c>
      <c r="J544" s="723"/>
      <c r="K544" s="345" t="s">
        <v>358</v>
      </c>
    </row>
    <row r="545" spans="1:15" ht="13.5" thickBot="1">
      <c r="C545" s="716" t="s">
        <v>282</v>
      </c>
      <c r="D545" s="866" t="s">
        <v>925</v>
      </c>
      <c r="E545" s="724" t="s">
        <v>283</v>
      </c>
      <c r="F545" s="725"/>
      <c r="G545" s="726"/>
      <c r="H545" s="726"/>
      <c r="I545" s="1220">
        <f>IF(D541=0,0,D541/D544)</f>
        <v>349319.96657894744</v>
      </c>
      <c r="J545" s="1211"/>
      <c r="K545" s="1211" t="s">
        <v>364</v>
      </c>
      <c r="L545" s="1211"/>
      <c r="M545" s="1211"/>
      <c r="N545" s="1211"/>
      <c r="O545" s="606"/>
    </row>
    <row r="546" spans="1:15" ht="51">
      <c r="A546" s="545"/>
      <c r="B546" s="1222"/>
      <c r="C546" s="727" t="s">
        <v>273</v>
      </c>
      <c r="D546" s="1223" t="s">
        <v>284</v>
      </c>
      <c r="E546" s="1224" t="s">
        <v>285</v>
      </c>
      <c r="F546" s="1223" t="s">
        <v>286</v>
      </c>
      <c r="G546" s="1224" t="s">
        <v>357</v>
      </c>
      <c r="H546" s="1225" t="s">
        <v>357</v>
      </c>
      <c r="I546" s="727" t="s">
        <v>296</v>
      </c>
      <c r="J546" s="731"/>
      <c r="K546" s="1224" t="s">
        <v>366</v>
      </c>
      <c r="L546" s="1226"/>
      <c r="M546" s="1224" t="s">
        <v>366</v>
      </c>
      <c r="N546" s="1226"/>
      <c r="O546" s="1226"/>
    </row>
    <row r="547" spans="1:15" ht="13.5" thickBot="1">
      <c r="C547" s="733" t="s">
        <v>178</v>
      </c>
      <c r="D547" s="734" t="s">
        <v>179</v>
      </c>
      <c r="E547" s="733" t="s">
        <v>38</v>
      </c>
      <c r="F547" s="734" t="s">
        <v>179</v>
      </c>
      <c r="G547" s="1227" t="s">
        <v>299</v>
      </c>
      <c r="H547" s="1228" t="s">
        <v>301</v>
      </c>
      <c r="I547" s="737" t="s">
        <v>390</v>
      </c>
      <c r="J547" s="738"/>
      <c r="K547" s="1227" t="s">
        <v>288</v>
      </c>
      <c r="L547" s="1229"/>
      <c r="M547" s="1227" t="s">
        <v>301</v>
      </c>
      <c r="N547" s="1229"/>
      <c r="O547" s="1229"/>
    </row>
    <row r="548" spans="1:15">
      <c r="C548" s="739">
        <f>IF(D542= "","-",D542)</f>
        <v>2014</v>
      </c>
      <c r="D548" s="691">
        <f>+D541</f>
        <v>13274158.730000002</v>
      </c>
      <c r="E548" s="1243">
        <f>+I545/12*(12-D543)</f>
        <v>58219.994429824575</v>
      </c>
      <c r="F548" s="691">
        <f t="shared" ref="F548:F607" si="30">+D548-E548</f>
        <v>13215938.735570177</v>
      </c>
      <c r="G548" s="1231">
        <f>+$I$543*((D548+F548)/2)+E548</f>
        <v>1622319.5459986441</v>
      </c>
      <c r="H548" s="1232">
        <f>+$I$544*((D548+F548)/2)+E548</f>
        <v>1622319.5459986441</v>
      </c>
      <c r="I548" s="743">
        <f>+H548-G548</f>
        <v>0</v>
      </c>
      <c r="J548" s="743"/>
      <c r="K548" s="869">
        <v>0</v>
      </c>
      <c r="L548" s="745"/>
      <c r="M548" s="869">
        <v>0</v>
      </c>
      <c r="N548" s="745"/>
      <c r="O548" s="745"/>
    </row>
    <row r="549" spans="1:15">
      <c r="C549" s="739">
        <f>IF(D542="","-",+C548+1)</f>
        <v>2015</v>
      </c>
      <c r="D549" s="691">
        <f t="shared" ref="D549:D607" si="31">F548</f>
        <v>13215938.735570177</v>
      </c>
      <c r="E549" s="746">
        <f>IF(D549&gt;$I$545,$I$545,D549)</f>
        <v>349319.96657894744</v>
      </c>
      <c r="F549" s="691">
        <f t="shared" si="30"/>
        <v>12866618.76899123</v>
      </c>
      <c r="G549" s="1230">
        <f t="shared" ref="G549:G607" si="32">+$I$543*((D549+F549)/2)+E549</f>
        <v>1889356.4481236311</v>
      </c>
      <c r="H549" s="1233">
        <f t="shared" ref="H549:H607" si="33">+$I$544*((D549+F549)/2)+E549</f>
        <v>1889356.4481236311</v>
      </c>
      <c r="I549" s="743">
        <f t="shared" ref="I549:I607" si="34">+H549-G549</f>
        <v>0</v>
      </c>
      <c r="J549" s="743"/>
      <c r="K549" s="869">
        <v>248467</v>
      </c>
      <c r="L549" s="749"/>
      <c r="M549" s="869">
        <v>248467</v>
      </c>
      <c r="N549" s="749"/>
      <c r="O549" s="749"/>
    </row>
    <row r="550" spans="1:15">
      <c r="C550" s="739">
        <f>IF(D542="","-",+C549+1)</f>
        <v>2016</v>
      </c>
      <c r="D550" s="691">
        <f t="shared" si="31"/>
        <v>12866618.76899123</v>
      </c>
      <c r="E550" s="746">
        <f t="shared" ref="E550:E607" si="35">IF(D550&gt;$I$545,$I$545,D550)</f>
        <v>349319.96657894744</v>
      </c>
      <c r="F550" s="691">
        <f t="shared" si="30"/>
        <v>12517298.802412283</v>
      </c>
      <c r="G550" s="1230">
        <f t="shared" si="32"/>
        <v>1848105.4709393983</v>
      </c>
      <c r="H550" s="1233">
        <f t="shared" si="33"/>
        <v>1848105.4709393983</v>
      </c>
      <c r="I550" s="743">
        <f t="shared" si="34"/>
        <v>0</v>
      </c>
      <c r="J550" s="743"/>
      <c r="K550" s="869">
        <v>562247</v>
      </c>
      <c r="L550" s="749"/>
      <c r="M550" s="869">
        <v>562247</v>
      </c>
      <c r="N550" s="749"/>
      <c r="O550" s="749"/>
    </row>
    <row r="551" spans="1:15">
      <c r="C551" s="739">
        <f>IF(D542="","-",+C550+1)</f>
        <v>2017</v>
      </c>
      <c r="D551" s="691">
        <f t="shared" si="31"/>
        <v>12517298.802412283</v>
      </c>
      <c r="E551" s="746">
        <f t="shared" si="35"/>
        <v>349319.96657894744</v>
      </c>
      <c r="F551" s="691">
        <f t="shared" si="30"/>
        <v>12167978.835833335</v>
      </c>
      <c r="G551" s="1230">
        <f t="shared" si="32"/>
        <v>1806854.493755166</v>
      </c>
      <c r="H551" s="1233">
        <f t="shared" si="33"/>
        <v>1806854.493755166</v>
      </c>
      <c r="I551" s="743">
        <f t="shared" si="34"/>
        <v>0</v>
      </c>
      <c r="J551" s="743"/>
      <c r="K551" s="869">
        <v>1427903</v>
      </c>
      <c r="L551" s="749"/>
      <c r="M551" s="869">
        <v>1427903</v>
      </c>
      <c r="N551" s="749"/>
      <c r="O551" s="749"/>
    </row>
    <row r="552" spans="1:15">
      <c r="C552" s="1247">
        <f>IF(D542="","-",+C551+1)</f>
        <v>2018</v>
      </c>
      <c r="D552" s="1235">
        <f t="shared" si="31"/>
        <v>12167978.835833335</v>
      </c>
      <c r="E552" s="1236">
        <f t="shared" si="35"/>
        <v>349319.96657894744</v>
      </c>
      <c r="F552" s="1235">
        <f t="shared" si="30"/>
        <v>11818658.869254388</v>
      </c>
      <c r="G552" s="1237">
        <f t="shared" si="32"/>
        <v>1765603.5165709332</v>
      </c>
      <c r="H552" s="1238">
        <f t="shared" si="33"/>
        <v>1765603.5165709332</v>
      </c>
      <c r="I552" s="1239">
        <f t="shared" si="34"/>
        <v>0</v>
      </c>
      <c r="J552" s="743"/>
      <c r="K552" s="869">
        <v>1271398</v>
      </c>
      <c r="L552" s="749"/>
      <c r="M552" s="869">
        <v>1271398</v>
      </c>
      <c r="N552" s="749"/>
      <c r="O552" s="749"/>
    </row>
    <row r="553" spans="1:15">
      <c r="C553" s="739">
        <f>IF(D542="","-",+C552+1)</f>
        <v>2019</v>
      </c>
      <c r="D553" s="691">
        <f t="shared" si="31"/>
        <v>11818658.869254388</v>
      </c>
      <c r="E553" s="746">
        <f t="shared" si="35"/>
        <v>349319.96657894744</v>
      </c>
      <c r="F553" s="691">
        <f t="shared" si="30"/>
        <v>11469338.902675441</v>
      </c>
      <c r="G553" s="1230">
        <f t="shared" si="32"/>
        <v>1724352.5393867006</v>
      </c>
      <c r="H553" s="1233">
        <f t="shared" si="33"/>
        <v>1724352.5393867006</v>
      </c>
      <c r="I553" s="743">
        <f t="shared" si="34"/>
        <v>0</v>
      </c>
      <c r="J553" s="743"/>
      <c r="K553" s="869">
        <v>1164195.9622976338</v>
      </c>
      <c r="L553" s="749"/>
      <c r="M553" s="869">
        <v>1164195.9622976338</v>
      </c>
      <c r="N553" s="749"/>
      <c r="O553" s="749"/>
    </row>
    <row r="554" spans="1:15">
      <c r="C554" s="739">
        <f>IF(D542="","-",+C553+1)</f>
        <v>2020</v>
      </c>
      <c r="D554" s="691">
        <f t="shared" si="31"/>
        <v>11469338.902675441</v>
      </c>
      <c r="E554" s="746">
        <f t="shared" si="35"/>
        <v>349319.96657894744</v>
      </c>
      <c r="F554" s="691">
        <f t="shared" si="30"/>
        <v>11120018.936096493</v>
      </c>
      <c r="G554" s="1230">
        <f t="shared" si="32"/>
        <v>1683101.5622024678</v>
      </c>
      <c r="H554" s="1233">
        <f t="shared" si="33"/>
        <v>1683101.5622024678</v>
      </c>
      <c r="I554" s="743">
        <f t="shared" si="34"/>
        <v>0</v>
      </c>
      <c r="J554" s="743"/>
      <c r="K554" s="869">
        <v>1113450.666948139</v>
      </c>
      <c r="L554" s="749"/>
      <c r="M554" s="869">
        <v>1113450.666948139</v>
      </c>
      <c r="N554" s="749"/>
      <c r="O554" s="749"/>
    </row>
    <row r="555" spans="1:15">
      <c r="C555" s="739">
        <f>IF(D542="","-",+C554+1)</f>
        <v>2021</v>
      </c>
      <c r="D555" s="691">
        <f t="shared" si="31"/>
        <v>11120018.936096493</v>
      </c>
      <c r="E555" s="746">
        <f t="shared" si="35"/>
        <v>349319.96657894744</v>
      </c>
      <c r="F555" s="691">
        <f t="shared" si="30"/>
        <v>10770698.969517546</v>
      </c>
      <c r="G555" s="1230">
        <f t="shared" si="32"/>
        <v>1641850.5850182355</v>
      </c>
      <c r="H555" s="1233">
        <f t="shared" si="33"/>
        <v>1641850.5850182355</v>
      </c>
      <c r="I555" s="743">
        <f t="shared" si="34"/>
        <v>0</v>
      </c>
      <c r="J555" s="743"/>
      <c r="K555" s="869">
        <v>1397055.7879787525</v>
      </c>
      <c r="L555" s="749"/>
      <c r="M555" s="869">
        <v>1397055.7879787525</v>
      </c>
      <c r="N555" s="749"/>
      <c r="O555" s="749"/>
    </row>
    <row r="556" spans="1:15">
      <c r="C556" s="739">
        <f>IF(D542="","-",+C555+1)</f>
        <v>2022</v>
      </c>
      <c r="D556" s="691">
        <f t="shared" si="31"/>
        <v>10770698.969517546</v>
      </c>
      <c r="E556" s="746">
        <f t="shared" si="35"/>
        <v>349319.96657894744</v>
      </c>
      <c r="F556" s="691">
        <f t="shared" si="30"/>
        <v>10421379.002938598</v>
      </c>
      <c r="G556" s="1230">
        <f t="shared" si="32"/>
        <v>1600599.6078340027</v>
      </c>
      <c r="H556" s="1233">
        <f t="shared" si="33"/>
        <v>1600599.6078340027</v>
      </c>
      <c r="I556" s="743">
        <f t="shared" si="34"/>
        <v>0</v>
      </c>
      <c r="J556" s="743"/>
      <c r="K556" s="869">
        <v>1418586.3378005261</v>
      </c>
      <c r="L556" s="749"/>
      <c r="M556" s="869">
        <v>1418586.3378005261</v>
      </c>
      <c r="N556" s="749"/>
      <c r="O556" s="749"/>
    </row>
    <row r="557" spans="1:15">
      <c r="C557" s="739">
        <f>IF(D542="","-",+C556+1)</f>
        <v>2023</v>
      </c>
      <c r="D557" s="691">
        <f t="shared" si="31"/>
        <v>10421379.002938598</v>
      </c>
      <c r="E557" s="746">
        <f t="shared" si="35"/>
        <v>349319.96657894744</v>
      </c>
      <c r="F557" s="691">
        <f t="shared" si="30"/>
        <v>10072059.036359651</v>
      </c>
      <c r="G557" s="1230">
        <f t="shared" si="32"/>
        <v>1559348.6306497704</v>
      </c>
      <c r="H557" s="1233">
        <f t="shared" si="33"/>
        <v>1559348.6306497704</v>
      </c>
      <c r="I557" s="743">
        <f t="shared" si="34"/>
        <v>0</v>
      </c>
      <c r="J557" s="743"/>
      <c r="K557" s="869">
        <v>1506354.3909731098</v>
      </c>
      <c r="L557" s="749"/>
      <c r="M557" s="869">
        <v>1506354.3909731098</v>
      </c>
      <c r="N557" s="749"/>
      <c r="O557" s="749"/>
    </row>
    <row r="558" spans="1:15">
      <c r="C558" s="739">
        <f>IF(D542="","-",+C557+1)</f>
        <v>2024</v>
      </c>
      <c r="D558" s="691">
        <f t="shared" si="31"/>
        <v>10072059.036359651</v>
      </c>
      <c r="E558" s="746">
        <f t="shared" si="35"/>
        <v>349319.96657894744</v>
      </c>
      <c r="F558" s="691">
        <f t="shared" si="30"/>
        <v>9722739.0697807036</v>
      </c>
      <c r="G558" s="1230">
        <f t="shared" si="32"/>
        <v>1518097.6534655376</v>
      </c>
      <c r="H558" s="1233">
        <f t="shared" si="33"/>
        <v>1518097.6534655376</v>
      </c>
      <c r="I558" s="743">
        <f t="shared" si="34"/>
        <v>0</v>
      </c>
      <c r="J558" s="743"/>
      <c r="K558" s="869">
        <v>1546017.2687414913</v>
      </c>
      <c r="L558" s="749"/>
      <c r="M558" s="869">
        <v>1546017.2687414913</v>
      </c>
      <c r="N558" s="749"/>
      <c r="O558" s="749"/>
    </row>
    <row r="559" spans="1:15">
      <c r="C559" s="739">
        <f>IF(D542="","-",+C558+1)</f>
        <v>2025</v>
      </c>
      <c r="D559" s="691">
        <f t="shared" si="31"/>
        <v>9722739.0697807036</v>
      </c>
      <c r="E559" s="746">
        <f t="shared" si="35"/>
        <v>349319.96657894744</v>
      </c>
      <c r="F559" s="691">
        <f t="shared" si="30"/>
        <v>9373419.1032017563</v>
      </c>
      <c r="G559" s="1230">
        <f t="shared" si="32"/>
        <v>1476846.6762813053</v>
      </c>
      <c r="H559" s="1233">
        <f t="shared" si="33"/>
        <v>1476846.6762813053</v>
      </c>
      <c r="I559" s="743">
        <f t="shared" si="34"/>
        <v>0</v>
      </c>
      <c r="J559" s="743"/>
      <c r="K559" s="869"/>
      <c r="L559" s="749"/>
      <c r="M559" s="869"/>
      <c r="N559" s="749"/>
      <c r="O559" s="749"/>
    </row>
    <row r="560" spans="1:15">
      <c r="C560" s="739">
        <f>IF(D542="","-",+C559+1)</f>
        <v>2026</v>
      </c>
      <c r="D560" s="691">
        <f t="shared" si="31"/>
        <v>9373419.1032017563</v>
      </c>
      <c r="E560" s="746">
        <f t="shared" si="35"/>
        <v>349319.96657894744</v>
      </c>
      <c r="F560" s="691">
        <f t="shared" si="30"/>
        <v>9024099.1366228089</v>
      </c>
      <c r="G560" s="1230">
        <f t="shared" si="32"/>
        <v>1435595.6990970725</v>
      </c>
      <c r="H560" s="1233">
        <f t="shared" si="33"/>
        <v>1435595.6990970725</v>
      </c>
      <c r="I560" s="743">
        <f t="shared" si="34"/>
        <v>0</v>
      </c>
      <c r="J560" s="743"/>
      <c r="K560" s="869"/>
      <c r="L560" s="749"/>
      <c r="M560" s="869"/>
      <c r="N560" s="749"/>
      <c r="O560" s="749"/>
    </row>
    <row r="561" spans="3:15">
      <c r="C561" s="739">
        <f>IF(D542="","-",+C560+1)</f>
        <v>2027</v>
      </c>
      <c r="D561" s="691">
        <f t="shared" si="31"/>
        <v>9024099.1366228089</v>
      </c>
      <c r="E561" s="746">
        <f t="shared" si="35"/>
        <v>349319.96657894744</v>
      </c>
      <c r="F561" s="691">
        <f t="shared" si="30"/>
        <v>8674779.1700438615</v>
      </c>
      <c r="G561" s="1230">
        <f t="shared" si="32"/>
        <v>1394344.7219128401</v>
      </c>
      <c r="H561" s="1233">
        <f t="shared" si="33"/>
        <v>1394344.7219128401</v>
      </c>
      <c r="I561" s="743">
        <f t="shared" si="34"/>
        <v>0</v>
      </c>
      <c r="J561" s="743"/>
      <c r="K561" s="869"/>
      <c r="L561" s="749"/>
      <c r="M561" s="869"/>
      <c r="N561" s="749"/>
      <c r="O561" s="749"/>
    </row>
    <row r="562" spans="3:15">
      <c r="C562" s="739">
        <f>IF(D542="","-",+C561+1)</f>
        <v>2028</v>
      </c>
      <c r="D562" s="691">
        <f t="shared" si="31"/>
        <v>8674779.1700438615</v>
      </c>
      <c r="E562" s="746">
        <f t="shared" si="35"/>
        <v>349319.96657894744</v>
      </c>
      <c r="F562" s="691">
        <f t="shared" si="30"/>
        <v>8325459.2034649141</v>
      </c>
      <c r="G562" s="1230">
        <f t="shared" si="32"/>
        <v>1353093.7447286071</v>
      </c>
      <c r="H562" s="1233">
        <f t="shared" si="33"/>
        <v>1353093.7447286071</v>
      </c>
      <c r="I562" s="743">
        <f t="shared" si="34"/>
        <v>0</v>
      </c>
      <c r="J562" s="743"/>
      <c r="K562" s="869"/>
      <c r="L562" s="749"/>
      <c r="M562" s="869"/>
      <c r="N562" s="749"/>
      <c r="O562" s="749"/>
    </row>
    <row r="563" spans="3:15">
      <c r="C563" s="739">
        <f>IF(D542="","-",+C562+1)</f>
        <v>2029</v>
      </c>
      <c r="D563" s="691">
        <f t="shared" si="31"/>
        <v>8325459.2034649141</v>
      </c>
      <c r="E563" s="746">
        <f t="shared" si="35"/>
        <v>349319.96657894744</v>
      </c>
      <c r="F563" s="691">
        <f t="shared" si="30"/>
        <v>7976139.2368859667</v>
      </c>
      <c r="G563" s="1230">
        <f t="shared" si="32"/>
        <v>1311842.7675443748</v>
      </c>
      <c r="H563" s="1233">
        <f t="shared" si="33"/>
        <v>1311842.7675443748</v>
      </c>
      <c r="I563" s="743">
        <f t="shared" si="34"/>
        <v>0</v>
      </c>
      <c r="J563" s="743"/>
      <c r="K563" s="869"/>
      <c r="L563" s="749"/>
      <c r="M563" s="869"/>
      <c r="N563" s="749"/>
      <c r="O563" s="749"/>
    </row>
    <row r="564" spans="3:15">
      <c r="C564" s="739">
        <f>IF(D542="","-",+C563+1)</f>
        <v>2030</v>
      </c>
      <c r="D564" s="691">
        <f t="shared" si="31"/>
        <v>7976139.2368859667</v>
      </c>
      <c r="E564" s="746">
        <f t="shared" si="35"/>
        <v>349319.96657894744</v>
      </c>
      <c r="F564" s="691">
        <f t="shared" si="30"/>
        <v>7626819.2703070194</v>
      </c>
      <c r="G564" s="1230">
        <f t="shared" si="32"/>
        <v>1270591.7903601422</v>
      </c>
      <c r="H564" s="1233">
        <f t="shared" si="33"/>
        <v>1270591.7903601422</v>
      </c>
      <c r="I564" s="743">
        <f t="shared" si="34"/>
        <v>0</v>
      </c>
      <c r="J564" s="743"/>
      <c r="K564" s="869"/>
      <c r="L564" s="749"/>
      <c r="M564" s="869"/>
      <c r="N564" s="749"/>
      <c r="O564" s="749"/>
    </row>
    <row r="565" spans="3:15">
      <c r="C565" s="739">
        <f>IF(D542="","-",+C564+1)</f>
        <v>2031</v>
      </c>
      <c r="D565" s="691">
        <f t="shared" si="31"/>
        <v>7626819.2703070194</v>
      </c>
      <c r="E565" s="746">
        <f t="shared" si="35"/>
        <v>349319.96657894744</v>
      </c>
      <c r="F565" s="691">
        <f t="shared" si="30"/>
        <v>7277499.303728072</v>
      </c>
      <c r="G565" s="1230">
        <f t="shared" si="32"/>
        <v>1229340.8131759097</v>
      </c>
      <c r="H565" s="1233">
        <f t="shared" si="33"/>
        <v>1229340.8131759097</v>
      </c>
      <c r="I565" s="743">
        <f t="shared" si="34"/>
        <v>0</v>
      </c>
      <c r="J565" s="743"/>
      <c r="K565" s="869"/>
      <c r="L565" s="749"/>
      <c r="M565" s="869"/>
      <c r="N565" s="749"/>
      <c r="O565" s="749"/>
    </row>
    <row r="566" spans="3:15">
      <c r="C566" s="739">
        <f>IF(D542="","-",+C565+1)</f>
        <v>2032</v>
      </c>
      <c r="D566" s="691">
        <f t="shared" si="31"/>
        <v>7277499.303728072</v>
      </c>
      <c r="E566" s="746">
        <f t="shared" si="35"/>
        <v>349319.96657894744</v>
      </c>
      <c r="F566" s="691">
        <f t="shared" si="30"/>
        <v>6928179.3371491246</v>
      </c>
      <c r="G566" s="1230">
        <f t="shared" si="32"/>
        <v>1188089.8359916769</v>
      </c>
      <c r="H566" s="1233">
        <f t="shared" si="33"/>
        <v>1188089.8359916769</v>
      </c>
      <c r="I566" s="743">
        <f t="shared" si="34"/>
        <v>0</v>
      </c>
      <c r="J566" s="743"/>
      <c r="K566" s="869"/>
      <c r="L566" s="749"/>
      <c r="M566" s="869"/>
      <c r="N566" s="749"/>
      <c r="O566" s="749"/>
    </row>
    <row r="567" spans="3:15">
      <c r="C567" s="739">
        <f>IF(D542="","-",+C566+1)</f>
        <v>2033</v>
      </c>
      <c r="D567" s="691">
        <f t="shared" si="31"/>
        <v>6928179.3371491246</v>
      </c>
      <c r="E567" s="746">
        <f t="shared" si="35"/>
        <v>349319.96657894744</v>
      </c>
      <c r="F567" s="691">
        <f t="shared" si="30"/>
        <v>6578859.3705701772</v>
      </c>
      <c r="G567" s="1230">
        <f t="shared" si="32"/>
        <v>1146838.8588074443</v>
      </c>
      <c r="H567" s="1233">
        <f t="shared" si="33"/>
        <v>1146838.8588074443</v>
      </c>
      <c r="I567" s="743">
        <f t="shared" si="34"/>
        <v>0</v>
      </c>
      <c r="J567" s="743"/>
      <c r="K567" s="869"/>
      <c r="L567" s="749"/>
      <c r="M567" s="869"/>
      <c r="N567" s="749"/>
      <c r="O567" s="749"/>
    </row>
    <row r="568" spans="3:15">
      <c r="C568" s="739">
        <f>IF(D542="","-",+C567+1)</f>
        <v>2034</v>
      </c>
      <c r="D568" s="691">
        <f t="shared" si="31"/>
        <v>6578859.3705701772</v>
      </c>
      <c r="E568" s="746">
        <f t="shared" si="35"/>
        <v>349319.96657894744</v>
      </c>
      <c r="F568" s="691">
        <f t="shared" si="30"/>
        <v>6229539.4039912298</v>
      </c>
      <c r="G568" s="1230">
        <f t="shared" si="32"/>
        <v>1105587.8816232118</v>
      </c>
      <c r="H568" s="1233">
        <f t="shared" si="33"/>
        <v>1105587.8816232118</v>
      </c>
      <c r="I568" s="743">
        <f t="shared" si="34"/>
        <v>0</v>
      </c>
      <c r="J568" s="743"/>
      <c r="K568" s="869"/>
      <c r="L568" s="749"/>
      <c r="M568" s="869"/>
      <c r="N568" s="749"/>
      <c r="O568" s="749"/>
    </row>
    <row r="569" spans="3:15">
      <c r="C569" s="739">
        <f>IF(D542="","-",+C568+1)</f>
        <v>2035</v>
      </c>
      <c r="D569" s="691">
        <f t="shared" si="31"/>
        <v>6229539.4039912298</v>
      </c>
      <c r="E569" s="746">
        <f t="shared" si="35"/>
        <v>349319.96657894744</v>
      </c>
      <c r="F569" s="691">
        <f t="shared" si="30"/>
        <v>5880219.4374122825</v>
      </c>
      <c r="G569" s="1230">
        <f t="shared" si="32"/>
        <v>1064336.9044389792</v>
      </c>
      <c r="H569" s="1233">
        <f t="shared" si="33"/>
        <v>1064336.9044389792</v>
      </c>
      <c r="I569" s="743">
        <f t="shared" si="34"/>
        <v>0</v>
      </c>
      <c r="J569" s="743"/>
      <c r="K569" s="869"/>
      <c r="L569" s="749"/>
      <c r="M569" s="869"/>
      <c r="N569" s="749"/>
      <c r="O569" s="749"/>
    </row>
    <row r="570" spans="3:15">
      <c r="C570" s="739">
        <f>IF(D542="","-",+C569+1)</f>
        <v>2036</v>
      </c>
      <c r="D570" s="691">
        <f t="shared" si="31"/>
        <v>5880219.4374122825</v>
      </c>
      <c r="E570" s="746">
        <f t="shared" si="35"/>
        <v>349319.96657894744</v>
      </c>
      <c r="F570" s="691">
        <f t="shared" si="30"/>
        <v>5530899.4708333351</v>
      </c>
      <c r="G570" s="1230">
        <f t="shared" si="32"/>
        <v>1023085.9272547467</v>
      </c>
      <c r="H570" s="1233">
        <f t="shared" si="33"/>
        <v>1023085.9272547467</v>
      </c>
      <c r="I570" s="743">
        <f t="shared" si="34"/>
        <v>0</v>
      </c>
      <c r="J570" s="743"/>
      <c r="K570" s="869"/>
      <c r="L570" s="749"/>
      <c r="M570" s="869"/>
      <c r="N570" s="749"/>
      <c r="O570" s="749"/>
    </row>
    <row r="571" spans="3:15">
      <c r="C571" s="739">
        <f>IF(D542="","-",+C570+1)</f>
        <v>2037</v>
      </c>
      <c r="D571" s="691">
        <f t="shared" si="31"/>
        <v>5530899.4708333351</v>
      </c>
      <c r="E571" s="746">
        <f t="shared" si="35"/>
        <v>349319.96657894744</v>
      </c>
      <c r="F571" s="691">
        <f t="shared" si="30"/>
        <v>5181579.5042543877</v>
      </c>
      <c r="G571" s="1230">
        <f t="shared" si="32"/>
        <v>981834.95007051411</v>
      </c>
      <c r="H571" s="1233">
        <f t="shared" si="33"/>
        <v>981834.95007051411</v>
      </c>
      <c r="I571" s="743">
        <f t="shared" si="34"/>
        <v>0</v>
      </c>
      <c r="J571" s="743"/>
      <c r="K571" s="869"/>
      <c r="L571" s="749"/>
      <c r="M571" s="869"/>
      <c r="N571" s="749"/>
      <c r="O571" s="749"/>
    </row>
    <row r="572" spans="3:15">
      <c r="C572" s="739">
        <f>IF(D542="","-",+C571+1)</f>
        <v>2038</v>
      </c>
      <c r="D572" s="691">
        <f t="shared" si="31"/>
        <v>5181579.5042543877</v>
      </c>
      <c r="E572" s="746">
        <f t="shared" si="35"/>
        <v>349319.96657894744</v>
      </c>
      <c r="F572" s="691">
        <f t="shared" si="30"/>
        <v>4832259.5376754403</v>
      </c>
      <c r="G572" s="1230">
        <f t="shared" si="32"/>
        <v>940583.97288628132</v>
      </c>
      <c r="H572" s="1233">
        <f t="shared" si="33"/>
        <v>940583.97288628132</v>
      </c>
      <c r="I572" s="743">
        <f t="shared" si="34"/>
        <v>0</v>
      </c>
      <c r="J572" s="743"/>
      <c r="K572" s="869"/>
      <c r="L572" s="749"/>
      <c r="M572" s="869"/>
      <c r="N572" s="749"/>
      <c r="O572" s="749"/>
    </row>
    <row r="573" spans="3:15">
      <c r="C573" s="739">
        <f>IF(D542="","-",+C572+1)</f>
        <v>2039</v>
      </c>
      <c r="D573" s="691">
        <f t="shared" si="31"/>
        <v>4832259.5376754403</v>
      </c>
      <c r="E573" s="746">
        <f t="shared" si="35"/>
        <v>349319.96657894744</v>
      </c>
      <c r="F573" s="691">
        <f t="shared" si="30"/>
        <v>4482939.5710964929</v>
      </c>
      <c r="G573" s="1230">
        <f t="shared" si="32"/>
        <v>899332.99570204876</v>
      </c>
      <c r="H573" s="1233">
        <f t="shared" si="33"/>
        <v>899332.99570204876</v>
      </c>
      <c r="I573" s="743">
        <f t="shared" si="34"/>
        <v>0</v>
      </c>
      <c r="J573" s="743"/>
      <c r="K573" s="869"/>
      <c r="L573" s="749"/>
      <c r="M573" s="869"/>
      <c r="N573" s="749"/>
      <c r="O573" s="749"/>
    </row>
    <row r="574" spans="3:15">
      <c r="C574" s="739">
        <f>IF(D542="","-",+C573+1)</f>
        <v>2040</v>
      </c>
      <c r="D574" s="691">
        <f t="shared" si="31"/>
        <v>4482939.5710964929</v>
      </c>
      <c r="E574" s="746">
        <f t="shared" si="35"/>
        <v>349319.96657894744</v>
      </c>
      <c r="F574" s="691">
        <f t="shared" si="30"/>
        <v>4133619.6045175456</v>
      </c>
      <c r="G574" s="1230">
        <f t="shared" si="32"/>
        <v>858082.01851781621</v>
      </c>
      <c r="H574" s="1233">
        <f t="shared" si="33"/>
        <v>858082.01851781621</v>
      </c>
      <c r="I574" s="743">
        <f t="shared" si="34"/>
        <v>0</v>
      </c>
      <c r="J574" s="743"/>
      <c r="K574" s="869"/>
      <c r="L574" s="749"/>
      <c r="M574" s="869"/>
      <c r="N574" s="749"/>
      <c r="O574" s="749"/>
    </row>
    <row r="575" spans="3:15">
      <c r="C575" s="739">
        <f>IF(D542="","-",+C574+1)</f>
        <v>2041</v>
      </c>
      <c r="D575" s="691">
        <f t="shared" si="31"/>
        <v>4133619.6045175456</v>
      </c>
      <c r="E575" s="746">
        <f t="shared" si="35"/>
        <v>349319.96657894744</v>
      </c>
      <c r="F575" s="691">
        <f t="shared" si="30"/>
        <v>3784299.6379385982</v>
      </c>
      <c r="G575" s="1230">
        <f t="shared" si="32"/>
        <v>816831.04133358365</v>
      </c>
      <c r="H575" s="1233">
        <f t="shared" si="33"/>
        <v>816831.04133358365</v>
      </c>
      <c r="I575" s="743">
        <f t="shared" si="34"/>
        <v>0</v>
      </c>
      <c r="J575" s="743"/>
      <c r="K575" s="869"/>
      <c r="L575" s="749"/>
      <c r="M575" s="869"/>
      <c r="N575" s="749"/>
      <c r="O575" s="749"/>
    </row>
    <row r="576" spans="3:15">
      <c r="C576" s="739">
        <f>IF(D542="","-",+C575+1)</f>
        <v>2042</v>
      </c>
      <c r="D576" s="691">
        <f t="shared" si="31"/>
        <v>3784299.6379385982</v>
      </c>
      <c r="E576" s="746">
        <f t="shared" si="35"/>
        <v>349319.96657894744</v>
      </c>
      <c r="F576" s="691">
        <f t="shared" si="30"/>
        <v>3434979.6713596508</v>
      </c>
      <c r="G576" s="1240">
        <f t="shared" si="32"/>
        <v>775580.06414935109</v>
      </c>
      <c r="H576" s="1233">
        <f t="shared" si="33"/>
        <v>775580.06414935109</v>
      </c>
      <c r="I576" s="743">
        <f t="shared" si="34"/>
        <v>0</v>
      </c>
      <c r="J576" s="743"/>
      <c r="K576" s="869"/>
      <c r="L576" s="749"/>
      <c r="M576" s="869"/>
      <c r="N576" s="749"/>
      <c r="O576" s="749"/>
    </row>
    <row r="577" spans="3:15">
      <c r="C577" s="739">
        <f>IF(D542="","-",+C576+1)</f>
        <v>2043</v>
      </c>
      <c r="D577" s="691">
        <f t="shared" si="31"/>
        <v>3434979.6713596508</v>
      </c>
      <c r="E577" s="746">
        <f t="shared" si="35"/>
        <v>349319.96657894744</v>
      </c>
      <c r="F577" s="691">
        <f t="shared" si="30"/>
        <v>3085659.7047807034</v>
      </c>
      <c r="G577" s="1230">
        <f t="shared" si="32"/>
        <v>734329.08696511853</v>
      </c>
      <c r="H577" s="1233">
        <f t="shared" si="33"/>
        <v>734329.08696511853</v>
      </c>
      <c r="I577" s="743">
        <f t="shared" si="34"/>
        <v>0</v>
      </c>
      <c r="J577" s="743"/>
      <c r="K577" s="869"/>
      <c r="L577" s="749"/>
      <c r="M577" s="869"/>
      <c r="N577" s="749"/>
      <c r="O577" s="749"/>
    </row>
    <row r="578" spans="3:15">
      <c r="C578" s="739">
        <f>IF(D542="","-",+C577+1)</f>
        <v>2044</v>
      </c>
      <c r="D578" s="691">
        <f t="shared" si="31"/>
        <v>3085659.7047807034</v>
      </c>
      <c r="E578" s="746">
        <f t="shared" si="35"/>
        <v>349319.96657894744</v>
      </c>
      <c r="F578" s="691">
        <f t="shared" si="30"/>
        <v>2736339.738201756</v>
      </c>
      <c r="G578" s="1230">
        <f t="shared" si="32"/>
        <v>693078.10978088586</v>
      </c>
      <c r="H578" s="1233">
        <f t="shared" si="33"/>
        <v>693078.10978088586</v>
      </c>
      <c r="I578" s="743">
        <f t="shared" si="34"/>
        <v>0</v>
      </c>
      <c r="J578" s="743"/>
      <c r="K578" s="869"/>
      <c r="L578" s="749"/>
      <c r="M578" s="869"/>
      <c r="N578" s="749"/>
      <c r="O578" s="749"/>
    </row>
    <row r="579" spans="3:15">
      <c r="C579" s="739">
        <f>IF(D542="","-",+C578+1)</f>
        <v>2045</v>
      </c>
      <c r="D579" s="691">
        <f t="shared" si="31"/>
        <v>2736339.738201756</v>
      </c>
      <c r="E579" s="746">
        <f t="shared" si="35"/>
        <v>349319.96657894744</v>
      </c>
      <c r="F579" s="691">
        <f t="shared" si="30"/>
        <v>2387019.7716228087</v>
      </c>
      <c r="G579" s="1230">
        <f t="shared" si="32"/>
        <v>651827.1325966533</v>
      </c>
      <c r="H579" s="1233">
        <f t="shared" si="33"/>
        <v>651827.1325966533</v>
      </c>
      <c r="I579" s="743">
        <f t="shared" si="34"/>
        <v>0</v>
      </c>
      <c r="J579" s="743"/>
      <c r="K579" s="869"/>
      <c r="L579" s="749"/>
      <c r="M579" s="869"/>
      <c r="N579" s="749"/>
      <c r="O579" s="749"/>
    </row>
    <row r="580" spans="3:15">
      <c r="C580" s="739">
        <f>IF(D542="","-",+C579+1)</f>
        <v>2046</v>
      </c>
      <c r="D580" s="691">
        <f t="shared" si="31"/>
        <v>2387019.7716228087</v>
      </c>
      <c r="E580" s="746">
        <f t="shared" si="35"/>
        <v>349319.96657894744</v>
      </c>
      <c r="F580" s="691">
        <f t="shared" si="30"/>
        <v>2037699.8050438613</v>
      </c>
      <c r="G580" s="1230">
        <f t="shared" si="32"/>
        <v>610576.15541242063</v>
      </c>
      <c r="H580" s="1233">
        <f t="shared" si="33"/>
        <v>610576.15541242063</v>
      </c>
      <c r="I580" s="743">
        <f t="shared" si="34"/>
        <v>0</v>
      </c>
      <c r="J580" s="743"/>
      <c r="K580" s="869"/>
      <c r="L580" s="749"/>
      <c r="M580" s="869"/>
      <c r="N580" s="749"/>
      <c r="O580" s="749"/>
    </row>
    <row r="581" spans="3:15">
      <c r="C581" s="739">
        <f>IF(D542="","-",+C580+1)</f>
        <v>2047</v>
      </c>
      <c r="D581" s="691">
        <f t="shared" si="31"/>
        <v>2037699.8050438613</v>
      </c>
      <c r="E581" s="746">
        <f t="shared" si="35"/>
        <v>349319.96657894744</v>
      </c>
      <c r="F581" s="691">
        <f t="shared" si="30"/>
        <v>1688379.8384649139</v>
      </c>
      <c r="G581" s="1230">
        <f t="shared" si="32"/>
        <v>569325.17822818807</v>
      </c>
      <c r="H581" s="1233">
        <f t="shared" si="33"/>
        <v>569325.17822818807</v>
      </c>
      <c r="I581" s="743">
        <f t="shared" si="34"/>
        <v>0</v>
      </c>
      <c r="J581" s="743"/>
      <c r="K581" s="869"/>
      <c r="L581" s="749"/>
      <c r="M581" s="869"/>
      <c r="N581" s="749"/>
      <c r="O581" s="749"/>
    </row>
    <row r="582" spans="3:15">
      <c r="C582" s="739">
        <f>IF(D542="","-",+C581+1)</f>
        <v>2048</v>
      </c>
      <c r="D582" s="691">
        <f t="shared" si="31"/>
        <v>1688379.8384649139</v>
      </c>
      <c r="E582" s="746">
        <f t="shared" si="35"/>
        <v>349319.96657894744</v>
      </c>
      <c r="F582" s="691">
        <f t="shared" si="30"/>
        <v>1339059.8718859665</v>
      </c>
      <c r="G582" s="1230">
        <f t="shared" si="32"/>
        <v>528074.20104395552</v>
      </c>
      <c r="H582" s="1233">
        <f t="shared" si="33"/>
        <v>528074.20104395552</v>
      </c>
      <c r="I582" s="743">
        <f t="shared" si="34"/>
        <v>0</v>
      </c>
      <c r="J582" s="743"/>
      <c r="K582" s="869"/>
      <c r="L582" s="749"/>
      <c r="M582" s="869"/>
      <c r="N582" s="749"/>
      <c r="O582" s="749"/>
    </row>
    <row r="583" spans="3:15">
      <c r="C583" s="739">
        <f>IF(D542="","-",+C582+1)</f>
        <v>2049</v>
      </c>
      <c r="D583" s="691">
        <f t="shared" si="31"/>
        <v>1339059.8718859665</v>
      </c>
      <c r="E583" s="746">
        <f t="shared" si="35"/>
        <v>349319.96657894744</v>
      </c>
      <c r="F583" s="691">
        <f t="shared" si="30"/>
        <v>989739.90530701913</v>
      </c>
      <c r="G583" s="1230">
        <f t="shared" si="32"/>
        <v>486823.22385972296</v>
      </c>
      <c r="H583" s="1233">
        <f t="shared" si="33"/>
        <v>486823.22385972296</v>
      </c>
      <c r="I583" s="743">
        <f t="shared" si="34"/>
        <v>0</v>
      </c>
      <c r="J583" s="743"/>
      <c r="K583" s="869"/>
      <c r="L583" s="749"/>
      <c r="M583" s="869"/>
      <c r="N583" s="749"/>
      <c r="O583" s="749"/>
    </row>
    <row r="584" spans="3:15">
      <c r="C584" s="739">
        <f>IF(D542="","-",+C583+1)</f>
        <v>2050</v>
      </c>
      <c r="D584" s="691">
        <f t="shared" si="31"/>
        <v>989739.90530701913</v>
      </c>
      <c r="E584" s="746">
        <f t="shared" si="35"/>
        <v>349319.96657894744</v>
      </c>
      <c r="F584" s="691">
        <f t="shared" si="30"/>
        <v>640419.93872807175</v>
      </c>
      <c r="G584" s="1230">
        <f t="shared" si="32"/>
        <v>445572.24667549034</v>
      </c>
      <c r="H584" s="1233">
        <f t="shared" si="33"/>
        <v>445572.24667549034</v>
      </c>
      <c r="I584" s="743">
        <f t="shared" si="34"/>
        <v>0</v>
      </c>
      <c r="J584" s="743"/>
      <c r="K584" s="869"/>
      <c r="L584" s="749"/>
      <c r="M584" s="869"/>
      <c r="N584" s="749"/>
      <c r="O584" s="749"/>
    </row>
    <row r="585" spans="3:15">
      <c r="C585" s="739">
        <f>IF(D542="","-",+C584+1)</f>
        <v>2051</v>
      </c>
      <c r="D585" s="691">
        <f t="shared" si="31"/>
        <v>640419.93872807175</v>
      </c>
      <c r="E585" s="746">
        <f t="shared" si="35"/>
        <v>349319.96657894744</v>
      </c>
      <c r="F585" s="691">
        <f t="shared" si="30"/>
        <v>291099.97214912431</v>
      </c>
      <c r="G585" s="1230">
        <f t="shared" si="32"/>
        <v>404321.26949125773</v>
      </c>
      <c r="H585" s="1233">
        <f t="shared" si="33"/>
        <v>404321.26949125773</v>
      </c>
      <c r="I585" s="743">
        <f t="shared" si="34"/>
        <v>0</v>
      </c>
      <c r="J585" s="743"/>
      <c r="K585" s="869"/>
      <c r="L585" s="749"/>
      <c r="M585" s="869"/>
      <c r="N585" s="749"/>
      <c r="O585" s="749"/>
    </row>
    <row r="586" spans="3:15">
      <c r="C586" s="739">
        <f>IF(D542="","-",+C585+1)</f>
        <v>2052</v>
      </c>
      <c r="D586" s="691">
        <f t="shared" si="31"/>
        <v>291099.97214912431</v>
      </c>
      <c r="E586" s="746">
        <f t="shared" si="35"/>
        <v>291099.97214912431</v>
      </c>
      <c r="F586" s="691">
        <f t="shared" si="30"/>
        <v>0</v>
      </c>
      <c r="G586" s="1230">
        <f t="shared" si="32"/>
        <v>308287.87930922129</v>
      </c>
      <c r="H586" s="1233">
        <f t="shared" si="33"/>
        <v>308287.87930922129</v>
      </c>
      <c r="I586" s="743">
        <f t="shared" si="34"/>
        <v>0</v>
      </c>
      <c r="J586" s="743"/>
      <c r="K586" s="869"/>
      <c r="L586" s="749"/>
      <c r="M586" s="869"/>
      <c r="N586" s="749"/>
      <c r="O586" s="749"/>
    </row>
    <row r="587" spans="3:15">
      <c r="C587" s="739">
        <f>IF(D542="","-",+C586+1)</f>
        <v>2053</v>
      </c>
      <c r="D587" s="691">
        <f t="shared" si="31"/>
        <v>0</v>
      </c>
      <c r="E587" s="746">
        <f t="shared" si="35"/>
        <v>0</v>
      </c>
      <c r="F587" s="691">
        <f t="shared" si="30"/>
        <v>0</v>
      </c>
      <c r="G587" s="1230">
        <f t="shared" si="32"/>
        <v>0</v>
      </c>
      <c r="H587" s="1233">
        <f t="shared" si="33"/>
        <v>0</v>
      </c>
      <c r="I587" s="743">
        <f t="shared" si="34"/>
        <v>0</v>
      </c>
      <c r="J587" s="743"/>
      <c r="K587" s="869"/>
      <c r="L587" s="749"/>
      <c r="M587" s="869"/>
      <c r="N587" s="749"/>
      <c r="O587" s="749"/>
    </row>
    <row r="588" spans="3:15">
      <c r="C588" s="739">
        <f>IF(D542="","-",+C587+1)</f>
        <v>2054</v>
      </c>
      <c r="D588" s="691">
        <f t="shared" si="31"/>
        <v>0</v>
      </c>
      <c r="E588" s="746">
        <f t="shared" si="35"/>
        <v>0</v>
      </c>
      <c r="F588" s="691">
        <f t="shared" si="30"/>
        <v>0</v>
      </c>
      <c r="G588" s="1230">
        <f t="shared" si="32"/>
        <v>0</v>
      </c>
      <c r="H588" s="1233">
        <f t="shared" si="33"/>
        <v>0</v>
      </c>
      <c r="I588" s="743">
        <f t="shared" si="34"/>
        <v>0</v>
      </c>
      <c r="J588" s="743"/>
      <c r="K588" s="869"/>
      <c r="L588" s="749"/>
      <c r="M588" s="869"/>
      <c r="N588" s="749"/>
      <c r="O588" s="749"/>
    </row>
    <row r="589" spans="3:15">
      <c r="C589" s="739">
        <f>IF(D542="","-",+C588+1)</f>
        <v>2055</v>
      </c>
      <c r="D589" s="691">
        <f t="shared" si="31"/>
        <v>0</v>
      </c>
      <c r="E589" s="746">
        <f t="shared" si="35"/>
        <v>0</v>
      </c>
      <c r="F589" s="691">
        <f t="shared" si="30"/>
        <v>0</v>
      </c>
      <c r="G589" s="1230">
        <f t="shared" si="32"/>
        <v>0</v>
      </c>
      <c r="H589" s="1233">
        <f t="shared" si="33"/>
        <v>0</v>
      </c>
      <c r="I589" s="743">
        <f t="shared" si="34"/>
        <v>0</v>
      </c>
      <c r="J589" s="743"/>
      <c r="K589" s="869"/>
      <c r="L589" s="749"/>
      <c r="M589" s="869"/>
      <c r="N589" s="749"/>
      <c r="O589" s="749"/>
    </row>
    <row r="590" spans="3:15">
      <c r="C590" s="739">
        <f>IF(D542="","-",+C589+1)</f>
        <v>2056</v>
      </c>
      <c r="D590" s="691">
        <f t="shared" si="31"/>
        <v>0</v>
      </c>
      <c r="E590" s="746">
        <f t="shared" si="35"/>
        <v>0</v>
      </c>
      <c r="F590" s="691">
        <f t="shared" si="30"/>
        <v>0</v>
      </c>
      <c r="G590" s="1230">
        <f t="shared" si="32"/>
        <v>0</v>
      </c>
      <c r="H590" s="1233">
        <f t="shared" si="33"/>
        <v>0</v>
      </c>
      <c r="I590" s="743">
        <f t="shared" si="34"/>
        <v>0</v>
      </c>
      <c r="J590" s="743"/>
      <c r="K590" s="869"/>
      <c r="L590" s="749"/>
      <c r="M590" s="869"/>
      <c r="N590" s="749"/>
      <c r="O590" s="749"/>
    </row>
    <row r="591" spans="3:15">
      <c r="C591" s="739">
        <f>IF(D542="","-",+C590+1)</f>
        <v>2057</v>
      </c>
      <c r="D591" s="691">
        <f t="shared" si="31"/>
        <v>0</v>
      </c>
      <c r="E591" s="746">
        <f t="shared" si="35"/>
        <v>0</v>
      </c>
      <c r="F591" s="691">
        <f t="shared" si="30"/>
        <v>0</v>
      </c>
      <c r="G591" s="1230">
        <f t="shared" si="32"/>
        <v>0</v>
      </c>
      <c r="H591" s="1233">
        <f t="shared" si="33"/>
        <v>0</v>
      </c>
      <c r="I591" s="743">
        <f t="shared" si="34"/>
        <v>0</v>
      </c>
      <c r="J591" s="743"/>
      <c r="K591" s="869"/>
      <c r="L591" s="749"/>
      <c r="M591" s="869"/>
      <c r="N591" s="749"/>
      <c r="O591" s="749"/>
    </row>
    <row r="592" spans="3:15">
      <c r="C592" s="739">
        <f>IF(D542="","-",+C591+1)</f>
        <v>2058</v>
      </c>
      <c r="D592" s="691">
        <f t="shared" si="31"/>
        <v>0</v>
      </c>
      <c r="E592" s="746">
        <f t="shared" si="35"/>
        <v>0</v>
      </c>
      <c r="F592" s="691">
        <f t="shared" si="30"/>
        <v>0</v>
      </c>
      <c r="G592" s="1230">
        <f t="shared" si="32"/>
        <v>0</v>
      </c>
      <c r="H592" s="1233">
        <f t="shared" si="33"/>
        <v>0</v>
      </c>
      <c r="I592" s="743">
        <f t="shared" si="34"/>
        <v>0</v>
      </c>
      <c r="J592" s="743"/>
      <c r="K592" s="869"/>
      <c r="L592" s="749"/>
      <c r="M592" s="869"/>
      <c r="N592" s="749"/>
      <c r="O592" s="749"/>
    </row>
    <row r="593" spans="3:15">
      <c r="C593" s="739">
        <f>IF(D542="","-",+C592+1)</f>
        <v>2059</v>
      </c>
      <c r="D593" s="691">
        <f t="shared" si="31"/>
        <v>0</v>
      </c>
      <c r="E593" s="746">
        <f t="shared" si="35"/>
        <v>0</v>
      </c>
      <c r="F593" s="691">
        <f t="shared" si="30"/>
        <v>0</v>
      </c>
      <c r="G593" s="1230">
        <f t="shared" si="32"/>
        <v>0</v>
      </c>
      <c r="H593" s="1233">
        <f t="shared" si="33"/>
        <v>0</v>
      </c>
      <c r="I593" s="743">
        <f t="shared" si="34"/>
        <v>0</v>
      </c>
      <c r="J593" s="743"/>
      <c r="K593" s="869"/>
      <c r="L593" s="749"/>
      <c r="M593" s="869"/>
      <c r="N593" s="749"/>
      <c r="O593" s="749"/>
    </row>
    <row r="594" spans="3:15">
      <c r="C594" s="739">
        <f>IF(D542="","-",+C593+1)</f>
        <v>2060</v>
      </c>
      <c r="D594" s="691">
        <f t="shared" si="31"/>
        <v>0</v>
      </c>
      <c r="E594" s="746">
        <f t="shared" si="35"/>
        <v>0</v>
      </c>
      <c r="F594" s="691">
        <f t="shared" si="30"/>
        <v>0</v>
      </c>
      <c r="G594" s="1230">
        <f t="shared" si="32"/>
        <v>0</v>
      </c>
      <c r="H594" s="1233">
        <f t="shared" si="33"/>
        <v>0</v>
      </c>
      <c r="I594" s="743">
        <f t="shared" si="34"/>
        <v>0</v>
      </c>
      <c r="J594" s="743"/>
      <c r="K594" s="869"/>
      <c r="L594" s="749"/>
      <c r="M594" s="869"/>
      <c r="N594" s="749"/>
      <c r="O594" s="749"/>
    </row>
    <row r="595" spans="3:15">
      <c r="C595" s="739">
        <f>IF(D542="","-",+C594+1)</f>
        <v>2061</v>
      </c>
      <c r="D595" s="691">
        <f t="shared" si="31"/>
        <v>0</v>
      </c>
      <c r="E595" s="746">
        <f t="shared" si="35"/>
        <v>0</v>
      </c>
      <c r="F595" s="691">
        <f t="shared" si="30"/>
        <v>0</v>
      </c>
      <c r="G595" s="1230">
        <f t="shared" si="32"/>
        <v>0</v>
      </c>
      <c r="H595" s="1233">
        <f t="shared" si="33"/>
        <v>0</v>
      </c>
      <c r="I595" s="743">
        <f t="shared" si="34"/>
        <v>0</v>
      </c>
      <c r="J595" s="743"/>
      <c r="K595" s="869"/>
      <c r="L595" s="749"/>
      <c r="M595" s="869"/>
      <c r="N595" s="749"/>
      <c r="O595" s="749"/>
    </row>
    <row r="596" spans="3:15">
      <c r="C596" s="739">
        <f>IF(D542="","-",+C595+1)</f>
        <v>2062</v>
      </c>
      <c r="D596" s="691">
        <f t="shared" si="31"/>
        <v>0</v>
      </c>
      <c r="E596" s="746">
        <f t="shared" si="35"/>
        <v>0</v>
      </c>
      <c r="F596" s="691">
        <f t="shared" si="30"/>
        <v>0</v>
      </c>
      <c r="G596" s="1230">
        <f t="shared" si="32"/>
        <v>0</v>
      </c>
      <c r="H596" s="1233">
        <f t="shared" si="33"/>
        <v>0</v>
      </c>
      <c r="I596" s="743">
        <f t="shared" si="34"/>
        <v>0</v>
      </c>
      <c r="J596" s="743"/>
      <c r="K596" s="869"/>
      <c r="L596" s="749"/>
      <c r="M596" s="869"/>
      <c r="N596" s="749"/>
      <c r="O596" s="749"/>
    </row>
    <row r="597" spans="3:15">
      <c r="C597" s="739">
        <f>IF(D542="","-",+C596+1)</f>
        <v>2063</v>
      </c>
      <c r="D597" s="691">
        <f t="shared" si="31"/>
        <v>0</v>
      </c>
      <c r="E597" s="746">
        <f t="shared" si="35"/>
        <v>0</v>
      </c>
      <c r="F597" s="691">
        <f t="shared" si="30"/>
        <v>0</v>
      </c>
      <c r="G597" s="1230">
        <f t="shared" si="32"/>
        <v>0</v>
      </c>
      <c r="H597" s="1233">
        <f t="shared" si="33"/>
        <v>0</v>
      </c>
      <c r="I597" s="743">
        <f t="shared" si="34"/>
        <v>0</v>
      </c>
      <c r="J597" s="743"/>
      <c r="K597" s="869"/>
      <c r="L597" s="749"/>
      <c r="M597" s="869"/>
      <c r="N597" s="749"/>
      <c r="O597" s="749"/>
    </row>
    <row r="598" spans="3:15">
      <c r="C598" s="739">
        <f>IF(D542="","-",+C597+1)</f>
        <v>2064</v>
      </c>
      <c r="D598" s="691">
        <f t="shared" si="31"/>
        <v>0</v>
      </c>
      <c r="E598" s="746">
        <f t="shared" si="35"/>
        <v>0</v>
      </c>
      <c r="F598" s="691">
        <f t="shared" si="30"/>
        <v>0</v>
      </c>
      <c r="G598" s="1230">
        <f t="shared" si="32"/>
        <v>0</v>
      </c>
      <c r="H598" s="1233">
        <f t="shared" si="33"/>
        <v>0</v>
      </c>
      <c r="I598" s="743">
        <f t="shared" si="34"/>
        <v>0</v>
      </c>
      <c r="J598" s="743"/>
      <c r="K598" s="869"/>
      <c r="L598" s="749"/>
      <c r="M598" s="869"/>
      <c r="N598" s="749"/>
      <c r="O598" s="749"/>
    </row>
    <row r="599" spans="3:15">
      <c r="C599" s="739">
        <f>IF(D542="","-",+C598+1)</f>
        <v>2065</v>
      </c>
      <c r="D599" s="691">
        <f t="shared" si="31"/>
        <v>0</v>
      </c>
      <c r="E599" s="746">
        <f t="shared" si="35"/>
        <v>0</v>
      </c>
      <c r="F599" s="691">
        <f t="shared" si="30"/>
        <v>0</v>
      </c>
      <c r="G599" s="1230">
        <f t="shared" si="32"/>
        <v>0</v>
      </c>
      <c r="H599" s="1233">
        <f t="shared" si="33"/>
        <v>0</v>
      </c>
      <c r="I599" s="743">
        <f t="shared" si="34"/>
        <v>0</v>
      </c>
      <c r="J599" s="743"/>
      <c r="K599" s="869"/>
      <c r="L599" s="749"/>
      <c r="M599" s="869"/>
      <c r="N599" s="749"/>
      <c r="O599" s="749"/>
    </row>
    <row r="600" spans="3:15">
      <c r="C600" s="739">
        <f>IF(D542="","-",+C599+1)</f>
        <v>2066</v>
      </c>
      <c r="D600" s="691">
        <f t="shared" si="31"/>
        <v>0</v>
      </c>
      <c r="E600" s="746">
        <f t="shared" si="35"/>
        <v>0</v>
      </c>
      <c r="F600" s="691">
        <f t="shared" si="30"/>
        <v>0</v>
      </c>
      <c r="G600" s="1230">
        <f t="shared" si="32"/>
        <v>0</v>
      </c>
      <c r="H600" s="1233">
        <f t="shared" si="33"/>
        <v>0</v>
      </c>
      <c r="I600" s="743">
        <f t="shared" si="34"/>
        <v>0</v>
      </c>
      <c r="J600" s="743"/>
      <c r="K600" s="869"/>
      <c r="L600" s="749"/>
      <c r="M600" s="869"/>
      <c r="N600" s="749"/>
      <c r="O600" s="749"/>
    </row>
    <row r="601" spans="3:15">
      <c r="C601" s="739">
        <f>IF(D542="","-",+C600+1)</f>
        <v>2067</v>
      </c>
      <c r="D601" s="691">
        <f t="shared" si="31"/>
        <v>0</v>
      </c>
      <c r="E601" s="746">
        <f t="shared" si="35"/>
        <v>0</v>
      </c>
      <c r="F601" s="691">
        <f t="shared" si="30"/>
        <v>0</v>
      </c>
      <c r="G601" s="1230">
        <f t="shared" si="32"/>
        <v>0</v>
      </c>
      <c r="H601" s="1233">
        <f t="shared" si="33"/>
        <v>0</v>
      </c>
      <c r="I601" s="743">
        <f t="shared" si="34"/>
        <v>0</v>
      </c>
      <c r="J601" s="743"/>
      <c r="K601" s="869"/>
      <c r="L601" s="749"/>
      <c r="M601" s="869"/>
      <c r="N601" s="749"/>
      <c r="O601" s="749"/>
    </row>
    <row r="602" spans="3:15">
      <c r="C602" s="739">
        <f>IF(D542="","-",+C601+1)</f>
        <v>2068</v>
      </c>
      <c r="D602" s="691">
        <f t="shared" si="31"/>
        <v>0</v>
      </c>
      <c r="E602" s="746">
        <f t="shared" si="35"/>
        <v>0</v>
      </c>
      <c r="F602" s="691">
        <f t="shared" si="30"/>
        <v>0</v>
      </c>
      <c r="G602" s="1230">
        <f t="shared" si="32"/>
        <v>0</v>
      </c>
      <c r="H602" s="1233">
        <f t="shared" si="33"/>
        <v>0</v>
      </c>
      <c r="I602" s="743">
        <f t="shared" si="34"/>
        <v>0</v>
      </c>
      <c r="J602" s="743"/>
      <c r="K602" s="869"/>
      <c r="L602" s="749"/>
      <c r="M602" s="869"/>
      <c r="N602" s="749"/>
      <c r="O602" s="749"/>
    </row>
    <row r="603" spans="3:15">
      <c r="C603" s="739">
        <f>IF(D542="","-",+C602+1)</f>
        <v>2069</v>
      </c>
      <c r="D603" s="691">
        <f t="shared" si="31"/>
        <v>0</v>
      </c>
      <c r="E603" s="746">
        <f t="shared" si="35"/>
        <v>0</v>
      </c>
      <c r="F603" s="691">
        <f t="shared" si="30"/>
        <v>0</v>
      </c>
      <c r="G603" s="1230">
        <f t="shared" si="32"/>
        <v>0</v>
      </c>
      <c r="H603" s="1233">
        <f t="shared" si="33"/>
        <v>0</v>
      </c>
      <c r="I603" s="743">
        <f t="shared" si="34"/>
        <v>0</v>
      </c>
      <c r="J603" s="743"/>
      <c r="K603" s="869"/>
      <c r="L603" s="749"/>
      <c r="M603" s="869"/>
      <c r="N603" s="749"/>
      <c r="O603" s="749"/>
    </row>
    <row r="604" spans="3:15">
      <c r="C604" s="739">
        <f>IF(D542="","-",+C603+1)</f>
        <v>2070</v>
      </c>
      <c r="D604" s="691">
        <f t="shared" si="31"/>
        <v>0</v>
      </c>
      <c r="E604" s="746">
        <f t="shared" si="35"/>
        <v>0</v>
      </c>
      <c r="F604" s="691">
        <f t="shared" si="30"/>
        <v>0</v>
      </c>
      <c r="G604" s="1230">
        <f t="shared" si="32"/>
        <v>0</v>
      </c>
      <c r="H604" s="1233">
        <f t="shared" si="33"/>
        <v>0</v>
      </c>
      <c r="I604" s="743">
        <f t="shared" si="34"/>
        <v>0</v>
      </c>
      <c r="J604" s="743"/>
      <c r="K604" s="869"/>
      <c r="L604" s="749"/>
      <c r="M604" s="869"/>
      <c r="N604" s="749"/>
      <c r="O604" s="749"/>
    </row>
    <row r="605" spans="3:15">
      <c r="C605" s="739">
        <f>IF(D542="","-",+C604+1)</f>
        <v>2071</v>
      </c>
      <c r="D605" s="691">
        <f t="shared" si="31"/>
        <v>0</v>
      </c>
      <c r="E605" s="746">
        <f t="shared" si="35"/>
        <v>0</v>
      </c>
      <c r="F605" s="691">
        <f t="shared" si="30"/>
        <v>0</v>
      </c>
      <c r="G605" s="1230">
        <f t="shared" si="32"/>
        <v>0</v>
      </c>
      <c r="H605" s="1233">
        <f t="shared" si="33"/>
        <v>0</v>
      </c>
      <c r="I605" s="743">
        <f t="shared" si="34"/>
        <v>0</v>
      </c>
      <c r="J605" s="743"/>
      <c r="K605" s="869"/>
      <c r="L605" s="749"/>
      <c r="M605" s="869"/>
      <c r="N605" s="749"/>
      <c r="O605" s="749"/>
    </row>
    <row r="606" spans="3:15">
      <c r="C606" s="739">
        <f>IF(D542="","-",+C605+1)</f>
        <v>2072</v>
      </c>
      <c r="D606" s="691">
        <f t="shared" si="31"/>
        <v>0</v>
      </c>
      <c r="E606" s="746">
        <f t="shared" si="35"/>
        <v>0</v>
      </c>
      <c r="F606" s="691">
        <f t="shared" si="30"/>
        <v>0</v>
      </c>
      <c r="G606" s="1230">
        <f t="shared" si="32"/>
        <v>0</v>
      </c>
      <c r="H606" s="1233">
        <f t="shared" si="33"/>
        <v>0</v>
      </c>
      <c r="I606" s="743">
        <f t="shared" si="34"/>
        <v>0</v>
      </c>
      <c r="J606" s="743"/>
      <c r="K606" s="869"/>
      <c r="L606" s="749"/>
      <c r="M606" s="869"/>
      <c r="N606" s="749"/>
      <c r="O606" s="749"/>
    </row>
    <row r="607" spans="3:15" ht="13.5" thickBot="1">
      <c r="C607" s="750">
        <f>IF(D542="","-",+C606+1)</f>
        <v>2073</v>
      </c>
      <c r="D607" s="751">
        <f t="shared" si="31"/>
        <v>0</v>
      </c>
      <c r="E607" s="752">
        <f t="shared" si="35"/>
        <v>0</v>
      </c>
      <c r="F607" s="751">
        <f t="shared" si="30"/>
        <v>0</v>
      </c>
      <c r="G607" s="1241">
        <f t="shared" si="32"/>
        <v>0</v>
      </c>
      <c r="H607" s="1241">
        <f t="shared" si="33"/>
        <v>0</v>
      </c>
      <c r="I607" s="754">
        <f t="shared" si="34"/>
        <v>0</v>
      </c>
      <c r="J607" s="743"/>
      <c r="K607" s="870"/>
      <c r="L607" s="756"/>
      <c r="M607" s="870"/>
      <c r="N607" s="756"/>
      <c r="O607" s="756"/>
    </row>
    <row r="608" spans="3:15">
      <c r="C608" s="691" t="s">
        <v>289</v>
      </c>
      <c r="D608" s="1211"/>
      <c r="E608" s="1211">
        <f>SUM(E548:E607)</f>
        <v>13274158.730000002</v>
      </c>
      <c r="F608" s="1211"/>
      <c r="G608" s="1211">
        <f>SUM(G548:G607)</f>
        <v>44363645.201183304</v>
      </c>
      <c r="H608" s="1211">
        <f>SUM(H548:H607)</f>
        <v>44363645.201183304</v>
      </c>
      <c r="I608" s="1211">
        <f>SUM(I548:I607)</f>
        <v>0</v>
      </c>
      <c r="J608" s="1211"/>
      <c r="K608" s="1211"/>
      <c r="L608" s="1211"/>
      <c r="M608" s="1211"/>
      <c r="N608" s="1211"/>
      <c r="O608" s="558"/>
    </row>
    <row r="609" spans="1:16">
      <c r="D609" s="581"/>
      <c r="E609" s="558"/>
      <c r="F609" s="558"/>
      <c r="G609" s="558"/>
      <c r="H609" s="1210"/>
      <c r="I609" s="1210"/>
      <c r="J609" s="1211"/>
      <c r="K609" s="1210"/>
      <c r="L609" s="1210"/>
      <c r="M609" s="1210"/>
      <c r="N609" s="1210"/>
      <c r="O609" s="558"/>
    </row>
    <row r="610" spans="1:16">
      <c r="C610" s="1242" t="s">
        <v>926</v>
      </c>
      <c r="D610" s="581"/>
      <c r="E610" s="558"/>
      <c r="F610" s="558"/>
      <c r="G610" s="558"/>
      <c r="H610" s="1210"/>
      <c r="I610" s="1210"/>
      <c r="J610" s="1211"/>
      <c r="K610" s="1210"/>
      <c r="L610" s="1210"/>
      <c r="M610" s="1210"/>
      <c r="N610" s="1210"/>
      <c r="O610" s="558"/>
    </row>
    <row r="611" spans="1:16">
      <c r="D611" s="581"/>
      <c r="E611" s="558"/>
      <c r="F611" s="558"/>
      <c r="G611" s="558"/>
      <c r="H611" s="1210"/>
      <c r="I611" s="1210"/>
      <c r="J611" s="1211"/>
      <c r="K611" s="1210"/>
      <c r="L611" s="1210"/>
      <c r="M611" s="1210"/>
      <c r="N611" s="1210"/>
      <c r="O611" s="558"/>
    </row>
    <row r="612" spans="1:16">
      <c r="C612" s="704" t="s">
        <v>927</v>
      </c>
      <c r="D612" s="691"/>
      <c r="E612" s="691"/>
      <c r="F612" s="691"/>
      <c r="G612" s="1211"/>
      <c r="H612" s="1211"/>
      <c r="I612" s="692"/>
      <c r="J612" s="692"/>
      <c r="K612" s="692"/>
      <c r="L612" s="692"/>
      <c r="M612" s="692"/>
      <c r="N612" s="692"/>
      <c r="O612" s="558"/>
    </row>
    <row r="613" spans="1:16">
      <c r="C613" s="690" t="s">
        <v>477</v>
      </c>
      <c r="D613" s="691"/>
      <c r="E613" s="691"/>
      <c r="F613" s="691"/>
      <c r="G613" s="1211"/>
      <c r="H613" s="1211"/>
      <c r="I613" s="692"/>
      <c r="J613" s="692"/>
      <c r="K613" s="692"/>
      <c r="L613" s="692"/>
      <c r="M613" s="692"/>
      <c r="N613" s="692"/>
      <c r="O613" s="558"/>
    </row>
    <row r="614" spans="1:16">
      <c r="C614" s="690" t="s">
        <v>290</v>
      </c>
      <c r="D614" s="691"/>
      <c r="E614" s="691"/>
      <c r="F614" s="691"/>
      <c r="G614" s="1211"/>
      <c r="H614" s="1211"/>
      <c r="I614" s="692"/>
      <c r="J614" s="692"/>
      <c r="K614" s="692"/>
      <c r="L614" s="692"/>
      <c r="M614" s="692"/>
      <c r="N614" s="692"/>
      <c r="O614" s="558"/>
    </row>
    <row r="615" spans="1:16">
      <c r="C615" s="690"/>
      <c r="D615" s="691"/>
      <c r="E615" s="691"/>
      <c r="F615" s="691"/>
      <c r="G615" s="1211"/>
      <c r="H615" s="1211"/>
      <c r="I615" s="692"/>
      <c r="J615" s="692"/>
      <c r="K615" s="692"/>
      <c r="L615" s="692"/>
      <c r="M615" s="692"/>
      <c r="N615" s="692"/>
      <c r="O615" s="558"/>
    </row>
    <row r="616" spans="1:16">
      <c r="C616" s="1601" t="s">
        <v>461</v>
      </c>
      <c r="D616" s="1601"/>
      <c r="E616" s="1601"/>
      <c r="F616" s="1601"/>
      <c r="G616" s="1601"/>
      <c r="H616" s="1601"/>
      <c r="I616" s="1601"/>
      <c r="J616" s="1601"/>
      <c r="K616" s="1601"/>
      <c r="L616" s="1601"/>
      <c r="M616" s="1601"/>
      <c r="N616" s="1601"/>
      <c r="O616" s="1601"/>
    </row>
    <row r="617" spans="1:16">
      <c r="C617" s="1601"/>
      <c r="D617" s="1601"/>
      <c r="E617" s="1601"/>
      <c r="F617" s="1601"/>
      <c r="G617" s="1601"/>
      <c r="H617" s="1601"/>
      <c r="I617" s="1601"/>
      <c r="J617" s="1601"/>
      <c r="K617" s="1601"/>
      <c r="L617" s="1601"/>
      <c r="M617" s="1601"/>
      <c r="N617" s="1601"/>
      <c r="O617" s="1601"/>
    </row>
    <row r="618" spans="1:16" ht="20.25">
      <c r="A618" s="693" t="s">
        <v>923</v>
      </c>
      <c r="B618" s="594"/>
      <c r="C618" s="673"/>
      <c r="D618" s="581"/>
      <c r="E618" s="558"/>
      <c r="F618" s="663"/>
      <c r="G618" s="558"/>
      <c r="H618" s="1210"/>
      <c r="K618" s="694"/>
      <c r="L618" s="694"/>
      <c r="M618" s="694"/>
      <c r="N618" s="609" t="str">
        <f>"Page "&amp;P618&amp;" of "</f>
        <v xml:space="preserve">Page 8 of </v>
      </c>
      <c r="O618" s="610">
        <f>COUNT(P$6:P$59527)</f>
        <v>10</v>
      </c>
      <c r="P618" s="558">
        <v>8</v>
      </c>
    </row>
    <row r="619" spans="1:16">
      <c r="B619" s="594"/>
      <c r="C619" s="558"/>
      <c r="D619" s="581"/>
      <c r="E619" s="558"/>
      <c r="F619" s="558"/>
      <c r="G619" s="558"/>
      <c r="H619" s="1210"/>
      <c r="I619" s="558"/>
      <c r="J619" s="606"/>
      <c r="K619" s="558"/>
      <c r="L619" s="558"/>
      <c r="M619" s="558"/>
      <c r="N619" s="558"/>
      <c r="O619" s="558"/>
    </row>
    <row r="620" spans="1:16" ht="18">
      <c r="B620" s="613" t="s">
        <v>175</v>
      </c>
      <c r="C620" s="695" t="s">
        <v>291</v>
      </c>
      <c r="D620" s="581"/>
      <c r="E620" s="558"/>
      <c r="F620" s="558"/>
      <c r="G620" s="558"/>
      <c r="H620" s="1210"/>
      <c r="I620" s="1210"/>
      <c r="J620" s="1211"/>
      <c r="K620" s="1210"/>
      <c r="L620" s="1210"/>
      <c r="M620" s="1210"/>
      <c r="N620" s="1210"/>
      <c r="O620" s="558"/>
    </row>
    <row r="621" spans="1:16" ht="18.75">
      <c r="B621" s="613"/>
      <c r="C621" s="612"/>
      <c r="D621" s="581"/>
      <c r="E621" s="558"/>
      <c r="F621" s="558"/>
      <c r="G621" s="558"/>
      <c r="H621" s="1210"/>
      <c r="I621" s="1210"/>
      <c r="J621" s="1211"/>
      <c r="K621" s="1210"/>
      <c r="L621" s="1210"/>
      <c r="M621" s="1210"/>
      <c r="N621" s="1210"/>
      <c r="O621" s="558"/>
    </row>
    <row r="622" spans="1:16" ht="18.75">
      <c r="B622" s="613"/>
      <c r="C622" s="612" t="s">
        <v>292</v>
      </c>
      <c r="D622" s="581"/>
      <c r="E622" s="558"/>
      <c r="F622" s="558"/>
      <c r="G622" s="558"/>
      <c r="H622" s="1210"/>
      <c r="I622" s="1210"/>
      <c r="J622" s="1211"/>
      <c r="K622" s="1210"/>
      <c r="L622" s="1210"/>
      <c r="M622" s="1210"/>
      <c r="N622" s="1210"/>
      <c r="O622" s="558"/>
    </row>
    <row r="623" spans="1:16" ht="15.75" thickBot="1">
      <c r="C623" s="411"/>
      <c r="D623" s="581"/>
      <c r="E623" s="558"/>
      <c r="F623" s="558"/>
      <c r="G623" s="558"/>
      <c r="H623" s="1210"/>
      <c r="I623" s="1210"/>
      <c r="J623" s="1211"/>
      <c r="K623" s="1210"/>
      <c r="L623" s="1210"/>
      <c r="M623" s="1210"/>
      <c r="N623" s="1210"/>
      <c r="O623" s="558"/>
    </row>
    <row r="624" spans="1:16" ht="15.75">
      <c r="C624" s="614" t="s">
        <v>293</v>
      </c>
      <c r="D624" s="581"/>
      <c r="E624" s="558"/>
      <c r="F624" s="558"/>
      <c r="G624" s="1212"/>
      <c r="H624" s="558" t="s">
        <v>272</v>
      </c>
      <c r="I624" s="558"/>
      <c r="J624" s="606"/>
      <c r="K624" s="696" t="s">
        <v>297</v>
      </c>
      <c r="L624" s="697"/>
      <c r="M624" s="698"/>
      <c r="N624" s="1213">
        <f>VLOOKUP(I630,C637:O696,5)</f>
        <v>391239.09302340285</v>
      </c>
      <c r="O624" s="558"/>
    </row>
    <row r="625" spans="1:15" ht="15.75">
      <c r="C625" s="614"/>
      <c r="D625" s="581"/>
      <c r="E625" s="558"/>
      <c r="F625" s="558"/>
      <c r="G625" s="558"/>
      <c r="H625" s="1214"/>
      <c r="I625" s="1214"/>
      <c r="J625" s="1215"/>
      <c r="K625" s="701" t="s">
        <v>298</v>
      </c>
      <c r="L625" s="1216"/>
      <c r="M625" s="606"/>
      <c r="N625" s="1217">
        <f>VLOOKUP(I630,C637:O696,6)</f>
        <v>391239.09302340285</v>
      </c>
      <c r="O625" s="558"/>
    </row>
    <row r="626" spans="1:15" ht="13.5" thickBot="1">
      <c r="C626" s="702" t="s">
        <v>294</v>
      </c>
      <c r="D626" s="1598" t="s">
        <v>933</v>
      </c>
      <c r="E626" s="1599"/>
      <c r="F626" s="1599"/>
      <c r="G626" s="1599"/>
      <c r="H626" s="1599"/>
      <c r="I626" s="1599"/>
      <c r="J626" s="1211"/>
      <c r="K626" s="1218" t="s">
        <v>451</v>
      </c>
      <c r="L626" s="1219"/>
      <c r="M626" s="1219"/>
      <c r="N626" s="1220">
        <f>+N625-N624</f>
        <v>0</v>
      </c>
      <c r="O626" s="558"/>
    </row>
    <row r="627" spans="1:15">
      <c r="C627" s="704"/>
      <c r="D627" s="1599"/>
      <c r="E627" s="1599"/>
      <c r="F627" s="1599"/>
      <c r="G627" s="1599"/>
      <c r="H627" s="1599"/>
      <c r="I627" s="1599"/>
      <c r="J627" s="1211"/>
      <c r="K627" s="1210"/>
      <c r="L627" s="1210"/>
      <c r="M627" s="1210"/>
      <c r="N627" s="1210"/>
      <c r="O627" s="558"/>
    </row>
    <row r="628" spans="1:15" ht="13.5" thickBot="1">
      <c r="C628" s="707"/>
      <c r="D628" s="708"/>
      <c r="E628" s="706"/>
      <c r="F628" s="706"/>
      <c r="G628" s="706"/>
      <c r="H628" s="706"/>
      <c r="I628" s="706"/>
      <c r="J628" s="709"/>
      <c r="K628" s="706"/>
      <c r="L628" s="706"/>
      <c r="M628" s="706"/>
      <c r="N628" s="706"/>
      <c r="O628" s="594"/>
    </row>
    <row r="629" spans="1:15" ht="13.5" thickBot="1">
      <c r="C629" s="710" t="s">
        <v>295</v>
      </c>
      <c r="D629" s="711"/>
      <c r="E629" s="711"/>
      <c r="F629" s="711"/>
      <c r="G629" s="711"/>
      <c r="H629" s="711"/>
      <c r="I629" s="712"/>
      <c r="J629" s="713"/>
      <c r="K629" s="558"/>
      <c r="L629" s="558"/>
      <c r="M629" s="558"/>
      <c r="N629" s="558"/>
      <c r="O629" s="714"/>
    </row>
    <row r="630" spans="1:15" ht="15">
      <c r="C630" s="716" t="s">
        <v>273</v>
      </c>
      <c r="D630" s="1221">
        <v>3315854.25</v>
      </c>
      <c r="E630" s="673" t="s">
        <v>274</v>
      </c>
      <c r="G630" s="717"/>
      <c r="H630" s="717"/>
      <c r="I630" s="718">
        <f>I541</f>
        <v>2025</v>
      </c>
      <c r="J630" s="604"/>
      <c r="K630" s="1600" t="s">
        <v>460</v>
      </c>
      <c r="L630" s="1600"/>
      <c r="M630" s="1600"/>
      <c r="N630" s="1600"/>
      <c r="O630" s="1600"/>
    </row>
    <row r="631" spans="1:15">
      <c r="C631" s="716" t="s">
        <v>276</v>
      </c>
      <c r="D631" s="864">
        <v>2016</v>
      </c>
      <c r="E631" s="716" t="s">
        <v>277</v>
      </c>
      <c r="F631" s="717"/>
      <c r="H631" s="345"/>
      <c r="I631" s="867">
        <f>IF(G624="",0,$F$15)</f>
        <v>0</v>
      </c>
      <c r="J631" s="719"/>
      <c r="K631" s="1211" t="s">
        <v>460</v>
      </c>
    </row>
    <row r="632" spans="1:15">
      <c r="C632" s="716" t="s">
        <v>278</v>
      </c>
      <c r="D632" s="1221">
        <v>12</v>
      </c>
      <c r="E632" s="716" t="s">
        <v>279</v>
      </c>
      <c r="F632" s="717"/>
      <c r="H632" s="345"/>
      <c r="I632" s="720">
        <f>$G$70</f>
        <v>0.11808937687765908</v>
      </c>
      <c r="J632" s="721"/>
      <c r="K632" s="345" t="str">
        <f>"          INPUT PROJECTED ARR (WITH &amp; WITHOUT INCENTIVES) FROM EACH PRIOR YEAR"</f>
        <v xml:space="preserve">          INPUT PROJECTED ARR (WITH &amp; WITHOUT INCENTIVES) FROM EACH PRIOR YEAR</v>
      </c>
    </row>
    <row r="633" spans="1:15">
      <c r="C633" s="716" t="s">
        <v>280</v>
      </c>
      <c r="D633" s="722">
        <f>G$79</f>
        <v>38</v>
      </c>
      <c r="E633" s="716" t="s">
        <v>281</v>
      </c>
      <c r="F633" s="717"/>
      <c r="H633" s="345"/>
      <c r="I633" s="720">
        <f>IF(G624="",I632,$G$67)</f>
        <v>0.11808937687765908</v>
      </c>
      <c r="J633" s="723"/>
      <c r="K633" s="345" t="s">
        <v>358</v>
      </c>
    </row>
    <row r="634" spans="1:15" ht="13.5" thickBot="1">
      <c r="C634" s="716" t="s">
        <v>282</v>
      </c>
      <c r="D634" s="866" t="s">
        <v>925</v>
      </c>
      <c r="E634" s="724" t="s">
        <v>283</v>
      </c>
      <c r="F634" s="725"/>
      <c r="G634" s="726"/>
      <c r="H634" s="726"/>
      <c r="I634" s="1220">
        <f>IF(D630=0,0,D630/D633)</f>
        <v>87259.322368421053</v>
      </c>
      <c r="J634" s="1211"/>
      <c r="K634" s="1211" t="s">
        <v>364</v>
      </c>
      <c r="L634" s="1211"/>
      <c r="M634" s="1211"/>
      <c r="N634" s="1211"/>
      <c r="O634" s="606"/>
    </row>
    <row r="635" spans="1:15" ht="51">
      <c r="A635" s="545"/>
      <c r="B635" s="1222"/>
      <c r="C635" s="727" t="s">
        <v>273</v>
      </c>
      <c r="D635" s="1223" t="s">
        <v>284</v>
      </c>
      <c r="E635" s="1224" t="s">
        <v>285</v>
      </c>
      <c r="F635" s="1223" t="s">
        <v>286</v>
      </c>
      <c r="G635" s="1224" t="s">
        <v>357</v>
      </c>
      <c r="H635" s="1225" t="s">
        <v>357</v>
      </c>
      <c r="I635" s="727" t="s">
        <v>296</v>
      </c>
      <c r="J635" s="731"/>
      <c r="K635" s="1224" t="s">
        <v>366</v>
      </c>
      <c r="L635" s="1226"/>
      <c r="M635" s="1224" t="s">
        <v>366</v>
      </c>
      <c r="N635" s="1226"/>
      <c r="O635" s="1226"/>
    </row>
    <row r="636" spans="1:15" ht="13.5" thickBot="1">
      <c r="C636" s="733" t="s">
        <v>178</v>
      </c>
      <c r="D636" s="734" t="s">
        <v>179</v>
      </c>
      <c r="E636" s="733" t="s">
        <v>38</v>
      </c>
      <c r="F636" s="734" t="s">
        <v>179</v>
      </c>
      <c r="G636" s="1227" t="s">
        <v>299</v>
      </c>
      <c r="H636" s="1228" t="s">
        <v>301</v>
      </c>
      <c r="I636" s="737" t="s">
        <v>390</v>
      </c>
      <c r="J636" s="738"/>
      <c r="K636" s="1227" t="s">
        <v>288</v>
      </c>
      <c r="L636" s="1229"/>
      <c r="M636" s="1227" t="s">
        <v>301</v>
      </c>
      <c r="N636" s="1229"/>
      <c r="O636" s="1229"/>
    </row>
    <row r="637" spans="1:15">
      <c r="C637" s="739">
        <f>IF(D631= "","-",D631)</f>
        <v>2016</v>
      </c>
      <c r="D637" s="691">
        <f>+D630</f>
        <v>3315854.25</v>
      </c>
      <c r="E637" s="1230">
        <f>+I634/12*(12-D632)</f>
        <v>0</v>
      </c>
      <c r="F637" s="691">
        <f t="shared" ref="F637:F696" si="36">+D637-E637</f>
        <v>3315854.25</v>
      </c>
      <c r="G637" s="1231">
        <f>+$I$632*((D637+F637)/2)+E637</f>
        <v>391567.16219963762</v>
      </c>
      <c r="H637" s="1232">
        <f>+$I$633*((D637+F637)/2)+E637</f>
        <v>391567.16219963762</v>
      </c>
      <c r="I637" s="743">
        <f>+H637-G637</f>
        <v>0</v>
      </c>
      <c r="J637" s="743"/>
      <c r="K637" s="869">
        <v>486138</v>
      </c>
      <c r="L637" s="745"/>
      <c r="M637" s="869">
        <v>486138</v>
      </c>
      <c r="N637" s="745"/>
      <c r="O637" s="745"/>
    </row>
    <row r="638" spans="1:15">
      <c r="C638" s="739">
        <f>IF(D631="","-",+C637+1)</f>
        <v>2017</v>
      </c>
      <c r="D638" s="691">
        <f t="shared" ref="D638:D696" si="37">F637</f>
        <v>3315854.25</v>
      </c>
      <c r="E638" s="746">
        <f>IF(D638&gt;$I$634,$I$634,D638)</f>
        <v>87259.322368421053</v>
      </c>
      <c r="F638" s="691">
        <f t="shared" si="36"/>
        <v>3228594.9276315789</v>
      </c>
      <c r="G638" s="1230">
        <f t="shared" ref="G638:G696" si="38">+$I$632*((D638+F638)/2)+E638</f>
        <v>473674.28506543185</v>
      </c>
      <c r="H638" s="1233">
        <f t="shared" ref="H638:H696" si="39">+$I$633*((D638+F638)/2)+E638</f>
        <v>473674.28506543185</v>
      </c>
      <c r="I638" s="743">
        <f t="shared" ref="I638:I696" si="40">+H638-G638</f>
        <v>0</v>
      </c>
      <c r="J638" s="743"/>
      <c r="K638" s="869">
        <v>574408</v>
      </c>
      <c r="L638" s="749"/>
      <c r="M638" s="869">
        <v>574408</v>
      </c>
      <c r="N638" s="749"/>
      <c r="O638" s="749"/>
    </row>
    <row r="639" spans="1:15">
      <c r="C639" s="1247">
        <f>IF(D631="","-",+C638+1)</f>
        <v>2018</v>
      </c>
      <c r="D639" s="1235">
        <f t="shared" si="37"/>
        <v>3228594.9276315789</v>
      </c>
      <c r="E639" s="1236">
        <f t="shared" ref="E639:E696" si="41">IF(D639&gt;$I$634,$I$634,D639)</f>
        <v>87259.322368421053</v>
      </c>
      <c r="F639" s="1235">
        <f t="shared" si="36"/>
        <v>3141335.6052631577</v>
      </c>
      <c r="G639" s="1237">
        <f t="shared" si="38"/>
        <v>463369.88606017816</v>
      </c>
      <c r="H639" s="1238">
        <f t="shared" si="39"/>
        <v>463369.88606017816</v>
      </c>
      <c r="I639" s="1239">
        <f t="shared" si="40"/>
        <v>0</v>
      </c>
      <c r="J639" s="743"/>
      <c r="K639" s="869">
        <v>355679</v>
      </c>
      <c r="L639" s="749"/>
      <c r="M639" s="869">
        <v>355679</v>
      </c>
      <c r="N639" s="749"/>
      <c r="O639" s="749"/>
    </row>
    <row r="640" spans="1:15">
      <c r="C640" s="739">
        <f>IF(D631="","-",+C639+1)</f>
        <v>2019</v>
      </c>
      <c r="D640" s="691">
        <f t="shared" si="37"/>
        <v>3141335.6052631577</v>
      </c>
      <c r="E640" s="746">
        <f t="shared" si="41"/>
        <v>87259.322368421053</v>
      </c>
      <c r="F640" s="691">
        <f t="shared" si="36"/>
        <v>3054076.2828947366</v>
      </c>
      <c r="G640" s="1230">
        <f t="shared" si="38"/>
        <v>453065.4870549246</v>
      </c>
      <c r="H640" s="1233">
        <f t="shared" si="39"/>
        <v>453065.4870549246</v>
      </c>
      <c r="I640" s="743">
        <f t="shared" si="40"/>
        <v>0</v>
      </c>
      <c r="J640" s="743"/>
      <c r="K640" s="869">
        <v>367592.21732732857</v>
      </c>
      <c r="L640" s="749"/>
      <c r="M640" s="869">
        <v>367592.21732732857</v>
      </c>
      <c r="N640" s="749"/>
      <c r="O640" s="749"/>
    </row>
    <row r="641" spans="3:15">
      <c r="C641" s="739">
        <f>IF(D631="","-",+C640+1)</f>
        <v>2020</v>
      </c>
      <c r="D641" s="691">
        <f t="shared" si="37"/>
        <v>3054076.2828947366</v>
      </c>
      <c r="E641" s="746">
        <f t="shared" si="41"/>
        <v>87259.322368421053</v>
      </c>
      <c r="F641" s="691">
        <f t="shared" si="36"/>
        <v>2966816.9605263155</v>
      </c>
      <c r="G641" s="1230">
        <f t="shared" si="38"/>
        <v>442761.08804967091</v>
      </c>
      <c r="H641" s="1233">
        <f t="shared" si="39"/>
        <v>442761.08804967091</v>
      </c>
      <c r="I641" s="743">
        <f t="shared" si="40"/>
        <v>0</v>
      </c>
      <c r="J641" s="743"/>
      <c r="K641" s="869">
        <v>376070.79773197492</v>
      </c>
      <c r="L641" s="749"/>
      <c r="M641" s="869">
        <v>376070.79773197492</v>
      </c>
      <c r="N641" s="749"/>
      <c r="O641" s="749"/>
    </row>
    <row r="642" spans="3:15">
      <c r="C642" s="739">
        <f>IF(D631="","-",+C641+1)</f>
        <v>2021</v>
      </c>
      <c r="D642" s="691">
        <f t="shared" si="37"/>
        <v>2966816.9605263155</v>
      </c>
      <c r="E642" s="746">
        <f t="shared" si="41"/>
        <v>87259.322368421053</v>
      </c>
      <c r="F642" s="691">
        <f t="shared" si="36"/>
        <v>2879557.6381578944</v>
      </c>
      <c r="G642" s="1230">
        <f t="shared" si="38"/>
        <v>432456.68904441735</v>
      </c>
      <c r="H642" s="1233">
        <f t="shared" si="39"/>
        <v>432456.68904441735</v>
      </c>
      <c r="I642" s="743">
        <f t="shared" si="40"/>
        <v>0</v>
      </c>
      <c r="J642" s="743"/>
      <c r="K642" s="869">
        <v>373465.18715784856</v>
      </c>
      <c r="L642" s="749"/>
      <c r="M642" s="869">
        <v>373465.18715784856</v>
      </c>
      <c r="N642" s="749"/>
      <c r="O642" s="749"/>
    </row>
    <row r="643" spans="3:15">
      <c r="C643" s="739">
        <f>IF(D631="","-",+C642+1)</f>
        <v>2022</v>
      </c>
      <c r="D643" s="691">
        <f t="shared" si="37"/>
        <v>2879557.6381578944</v>
      </c>
      <c r="E643" s="746">
        <f t="shared" si="41"/>
        <v>87259.322368421053</v>
      </c>
      <c r="F643" s="691">
        <f t="shared" si="36"/>
        <v>2792298.3157894732</v>
      </c>
      <c r="G643" s="1230">
        <f t="shared" si="38"/>
        <v>422152.29003916366</v>
      </c>
      <c r="H643" s="1233">
        <f t="shared" si="39"/>
        <v>422152.29003916366</v>
      </c>
      <c r="I643" s="743">
        <f t="shared" si="40"/>
        <v>0</v>
      </c>
      <c r="J643" s="743"/>
      <c r="K643" s="869">
        <v>380259.72499343357</v>
      </c>
      <c r="L643" s="749"/>
      <c r="M643" s="869">
        <v>380259.72499343357</v>
      </c>
      <c r="N643" s="749"/>
      <c r="O643" s="749"/>
    </row>
    <row r="644" spans="3:15">
      <c r="C644" s="739">
        <f>IF(D631="","-",+C643+1)</f>
        <v>2023</v>
      </c>
      <c r="D644" s="691">
        <f t="shared" si="37"/>
        <v>2792298.3157894732</v>
      </c>
      <c r="E644" s="746">
        <f t="shared" si="41"/>
        <v>87259.322368421053</v>
      </c>
      <c r="F644" s="691">
        <f t="shared" si="36"/>
        <v>2705038.9934210521</v>
      </c>
      <c r="G644" s="1230">
        <f t="shared" si="38"/>
        <v>411847.8910339101</v>
      </c>
      <c r="H644" s="1233">
        <f t="shared" si="39"/>
        <v>411847.8910339101</v>
      </c>
      <c r="I644" s="743">
        <f t="shared" si="40"/>
        <v>0</v>
      </c>
      <c r="J644" s="743"/>
      <c r="K644" s="869">
        <v>404773.99293290445</v>
      </c>
      <c r="L644" s="749"/>
      <c r="M644" s="869">
        <v>404773.99293290445</v>
      </c>
      <c r="N644" s="749"/>
      <c r="O644" s="749"/>
    </row>
    <row r="645" spans="3:15">
      <c r="C645" s="739">
        <f>IF(D631="","-",+C644+1)</f>
        <v>2024</v>
      </c>
      <c r="D645" s="691">
        <f t="shared" si="37"/>
        <v>2705038.9934210521</v>
      </c>
      <c r="E645" s="746">
        <f t="shared" si="41"/>
        <v>87259.322368421053</v>
      </c>
      <c r="F645" s="691">
        <f t="shared" si="36"/>
        <v>2617779.671052631</v>
      </c>
      <c r="G645" s="1230">
        <f t="shared" si="38"/>
        <v>401543.49202865642</v>
      </c>
      <c r="H645" s="1233">
        <f t="shared" si="39"/>
        <v>401543.49202865642</v>
      </c>
      <c r="I645" s="743">
        <f t="shared" si="40"/>
        <v>0</v>
      </c>
      <c r="J645" s="743"/>
      <c r="K645" s="869">
        <v>408437.03492350853</v>
      </c>
      <c r="L645" s="749"/>
      <c r="M645" s="869">
        <v>408437.03492350853</v>
      </c>
      <c r="N645" s="749"/>
      <c r="O645" s="749"/>
    </row>
    <row r="646" spans="3:15">
      <c r="C646" s="739">
        <f>IF(D631="","-",+C645+1)</f>
        <v>2025</v>
      </c>
      <c r="D646" s="691">
        <f t="shared" si="37"/>
        <v>2617779.671052631</v>
      </c>
      <c r="E646" s="746">
        <f t="shared" si="41"/>
        <v>87259.322368421053</v>
      </c>
      <c r="F646" s="691">
        <f t="shared" si="36"/>
        <v>2530520.3486842099</v>
      </c>
      <c r="G646" s="1230">
        <f t="shared" si="38"/>
        <v>391239.09302340285</v>
      </c>
      <c r="H646" s="1233">
        <f t="shared" si="39"/>
        <v>391239.09302340285</v>
      </c>
      <c r="I646" s="743">
        <f t="shared" si="40"/>
        <v>0</v>
      </c>
      <c r="J646" s="743"/>
      <c r="K646" s="869"/>
      <c r="L646" s="749"/>
      <c r="M646" s="869"/>
      <c r="N646" s="749"/>
      <c r="O646" s="749"/>
    </row>
    <row r="647" spans="3:15">
      <c r="C647" s="739">
        <f>IF(D631="","-",+C646+1)</f>
        <v>2026</v>
      </c>
      <c r="D647" s="691">
        <f t="shared" si="37"/>
        <v>2530520.3486842099</v>
      </c>
      <c r="E647" s="746">
        <f t="shared" si="41"/>
        <v>87259.322368421053</v>
      </c>
      <c r="F647" s="691">
        <f t="shared" si="36"/>
        <v>2443261.0263157887</v>
      </c>
      <c r="G647" s="1230">
        <f t="shared" si="38"/>
        <v>380934.69401814917</v>
      </c>
      <c r="H647" s="1233">
        <f t="shared" si="39"/>
        <v>380934.69401814917</v>
      </c>
      <c r="I647" s="743">
        <f t="shared" si="40"/>
        <v>0</v>
      </c>
      <c r="J647" s="743"/>
      <c r="K647" s="869"/>
      <c r="L647" s="749"/>
      <c r="M647" s="869"/>
      <c r="N647" s="749"/>
      <c r="O647" s="749"/>
    </row>
    <row r="648" spans="3:15">
      <c r="C648" s="739">
        <f>IF(D631="","-",+C647+1)</f>
        <v>2027</v>
      </c>
      <c r="D648" s="691">
        <f t="shared" si="37"/>
        <v>2443261.0263157887</v>
      </c>
      <c r="E648" s="746">
        <f t="shared" si="41"/>
        <v>87259.322368421053</v>
      </c>
      <c r="F648" s="691">
        <f t="shared" si="36"/>
        <v>2356001.7039473676</v>
      </c>
      <c r="G648" s="1230">
        <f t="shared" si="38"/>
        <v>370630.2950128956</v>
      </c>
      <c r="H648" s="1233">
        <f t="shared" si="39"/>
        <v>370630.2950128956</v>
      </c>
      <c r="I648" s="743">
        <f t="shared" si="40"/>
        <v>0</v>
      </c>
      <c r="J648" s="743"/>
      <c r="K648" s="869"/>
      <c r="L648" s="749"/>
      <c r="M648" s="869"/>
      <c r="N648" s="749"/>
      <c r="O648" s="749"/>
    </row>
    <row r="649" spans="3:15">
      <c r="C649" s="739">
        <f>IF(D631="","-",+C648+1)</f>
        <v>2028</v>
      </c>
      <c r="D649" s="691">
        <f t="shared" si="37"/>
        <v>2356001.7039473676</v>
      </c>
      <c r="E649" s="746">
        <f t="shared" si="41"/>
        <v>87259.322368421053</v>
      </c>
      <c r="F649" s="691">
        <f t="shared" si="36"/>
        <v>2268742.3815789465</v>
      </c>
      <c r="G649" s="1230">
        <f t="shared" si="38"/>
        <v>360325.89600764192</v>
      </c>
      <c r="H649" s="1233">
        <f t="shared" si="39"/>
        <v>360325.89600764192</v>
      </c>
      <c r="I649" s="743">
        <f t="shared" si="40"/>
        <v>0</v>
      </c>
      <c r="J649" s="743"/>
      <c r="K649" s="869"/>
      <c r="L649" s="749"/>
      <c r="M649" s="869"/>
      <c r="N649" s="749"/>
      <c r="O649" s="749"/>
    </row>
    <row r="650" spans="3:15">
      <c r="C650" s="739">
        <f>IF(D631="","-",+C649+1)</f>
        <v>2029</v>
      </c>
      <c r="D650" s="691">
        <f t="shared" si="37"/>
        <v>2268742.3815789465</v>
      </c>
      <c r="E650" s="746">
        <f t="shared" si="41"/>
        <v>87259.322368421053</v>
      </c>
      <c r="F650" s="691">
        <f t="shared" si="36"/>
        <v>2181483.0592105254</v>
      </c>
      <c r="G650" s="1230">
        <f t="shared" si="38"/>
        <v>350021.49700238829</v>
      </c>
      <c r="H650" s="1233">
        <f t="shared" si="39"/>
        <v>350021.49700238829</v>
      </c>
      <c r="I650" s="743">
        <f t="shared" si="40"/>
        <v>0</v>
      </c>
      <c r="J650" s="743"/>
      <c r="K650" s="869"/>
      <c r="L650" s="749"/>
      <c r="M650" s="869"/>
      <c r="N650" s="749"/>
      <c r="O650" s="749"/>
    </row>
    <row r="651" spans="3:15">
      <c r="C651" s="739">
        <f>IF(D631="","-",+C650+1)</f>
        <v>2030</v>
      </c>
      <c r="D651" s="691">
        <f t="shared" si="37"/>
        <v>2181483.0592105254</v>
      </c>
      <c r="E651" s="746">
        <f t="shared" si="41"/>
        <v>87259.322368421053</v>
      </c>
      <c r="F651" s="691">
        <f t="shared" si="36"/>
        <v>2094223.7368421042</v>
      </c>
      <c r="G651" s="1230">
        <f t="shared" si="38"/>
        <v>339717.09799713461</v>
      </c>
      <c r="H651" s="1233">
        <f t="shared" si="39"/>
        <v>339717.09799713461</v>
      </c>
      <c r="I651" s="743">
        <f t="shared" si="40"/>
        <v>0</v>
      </c>
      <c r="J651" s="743"/>
      <c r="K651" s="869"/>
      <c r="L651" s="749"/>
      <c r="M651" s="869"/>
      <c r="N651" s="749"/>
      <c r="O651" s="749"/>
    </row>
    <row r="652" spans="3:15">
      <c r="C652" s="739">
        <f>IF(D631="","-",+C651+1)</f>
        <v>2031</v>
      </c>
      <c r="D652" s="691">
        <f t="shared" si="37"/>
        <v>2094223.7368421042</v>
      </c>
      <c r="E652" s="746">
        <f t="shared" si="41"/>
        <v>87259.322368421053</v>
      </c>
      <c r="F652" s="691">
        <f t="shared" si="36"/>
        <v>2006964.4144736831</v>
      </c>
      <c r="G652" s="1230">
        <f t="shared" si="38"/>
        <v>329412.69899188104</v>
      </c>
      <c r="H652" s="1233">
        <f t="shared" si="39"/>
        <v>329412.69899188104</v>
      </c>
      <c r="I652" s="743">
        <f t="shared" si="40"/>
        <v>0</v>
      </c>
      <c r="J652" s="743"/>
      <c r="K652" s="869"/>
      <c r="L652" s="749"/>
      <c r="M652" s="869"/>
      <c r="N652" s="749"/>
      <c r="O652" s="749"/>
    </row>
    <row r="653" spans="3:15">
      <c r="C653" s="739">
        <f>IF(D631="","-",+C652+1)</f>
        <v>2032</v>
      </c>
      <c r="D653" s="691">
        <f t="shared" si="37"/>
        <v>2006964.4144736831</v>
      </c>
      <c r="E653" s="746">
        <f t="shared" si="41"/>
        <v>87259.322368421053</v>
      </c>
      <c r="F653" s="691">
        <f t="shared" si="36"/>
        <v>1919705.092105262</v>
      </c>
      <c r="G653" s="1230">
        <f t="shared" si="38"/>
        <v>319108.29998662736</v>
      </c>
      <c r="H653" s="1233">
        <f t="shared" si="39"/>
        <v>319108.29998662736</v>
      </c>
      <c r="I653" s="743">
        <f t="shared" si="40"/>
        <v>0</v>
      </c>
      <c r="J653" s="743"/>
      <c r="K653" s="869"/>
      <c r="L653" s="749"/>
      <c r="M653" s="869"/>
      <c r="N653" s="749"/>
      <c r="O653" s="749"/>
    </row>
    <row r="654" spans="3:15">
      <c r="C654" s="739">
        <f>IF(D631="","-",+C653+1)</f>
        <v>2033</v>
      </c>
      <c r="D654" s="691">
        <f t="shared" si="37"/>
        <v>1919705.092105262</v>
      </c>
      <c r="E654" s="746">
        <f t="shared" si="41"/>
        <v>87259.322368421053</v>
      </c>
      <c r="F654" s="691">
        <f t="shared" si="36"/>
        <v>1832445.7697368409</v>
      </c>
      <c r="G654" s="1230">
        <f t="shared" si="38"/>
        <v>308803.90098137374</v>
      </c>
      <c r="H654" s="1233">
        <f t="shared" si="39"/>
        <v>308803.90098137374</v>
      </c>
      <c r="I654" s="743">
        <f t="shared" si="40"/>
        <v>0</v>
      </c>
      <c r="J654" s="743"/>
      <c r="K654" s="869"/>
      <c r="L654" s="749"/>
      <c r="M654" s="869"/>
      <c r="N654" s="749"/>
      <c r="O654" s="749"/>
    </row>
    <row r="655" spans="3:15">
      <c r="C655" s="739">
        <f>IF(D631="","-",+C654+1)</f>
        <v>2034</v>
      </c>
      <c r="D655" s="691">
        <f t="shared" si="37"/>
        <v>1832445.7697368409</v>
      </c>
      <c r="E655" s="746">
        <f t="shared" si="41"/>
        <v>87259.322368421053</v>
      </c>
      <c r="F655" s="691">
        <f t="shared" si="36"/>
        <v>1745186.4473684197</v>
      </c>
      <c r="G655" s="1230">
        <f t="shared" si="38"/>
        <v>298499.50197612011</v>
      </c>
      <c r="H655" s="1233">
        <f t="shared" si="39"/>
        <v>298499.50197612011</v>
      </c>
      <c r="I655" s="743">
        <f t="shared" si="40"/>
        <v>0</v>
      </c>
      <c r="J655" s="743"/>
      <c r="K655" s="869"/>
      <c r="L655" s="749"/>
      <c r="M655" s="869"/>
      <c r="N655" s="749"/>
      <c r="O655" s="749"/>
    </row>
    <row r="656" spans="3:15">
      <c r="C656" s="739">
        <f>IF(D631="","-",+C655+1)</f>
        <v>2035</v>
      </c>
      <c r="D656" s="691">
        <f t="shared" si="37"/>
        <v>1745186.4473684197</v>
      </c>
      <c r="E656" s="746">
        <f t="shared" si="41"/>
        <v>87259.322368421053</v>
      </c>
      <c r="F656" s="691">
        <f t="shared" si="36"/>
        <v>1657927.1249999986</v>
      </c>
      <c r="G656" s="1230">
        <f t="shared" si="38"/>
        <v>288195.10297086649</v>
      </c>
      <c r="H656" s="1233">
        <f t="shared" si="39"/>
        <v>288195.10297086649</v>
      </c>
      <c r="I656" s="743">
        <f t="shared" si="40"/>
        <v>0</v>
      </c>
      <c r="J656" s="743"/>
      <c r="K656" s="869"/>
      <c r="L656" s="749"/>
      <c r="M656" s="869"/>
      <c r="N656" s="749"/>
      <c r="O656" s="749"/>
    </row>
    <row r="657" spans="3:15">
      <c r="C657" s="739">
        <f>IF(D631="","-",+C656+1)</f>
        <v>2036</v>
      </c>
      <c r="D657" s="691">
        <f t="shared" si="37"/>
        <v>1657927.1249999986</v>
      </c>
      <c r="E657" s="746">
        <f t="shared" si="41"/>
        <v>87259.322368421053</v>
      </c>
      <c r="F657" s="691">
        <f t="shared" si="36"/>
        <v>1570667.8026315775</v>
      </c>
      <c r="G657" s="1230">
        <f t="shared" si="38"/>
        <v>277890.70396561286</v>
      </c>
      <c r="H657" s="1233">
        <f t="shared" si="39"/>
        <v>277890.70396561286</v>
      </c>
      <c r="I657" s="743">
        <f t="shared" si="40"/>
        <v>0</v>
      </c>
      <c r="J657" s="743"/>
      <c r="K657" s="869"/>
      <c r="L657" s="749"/>
      <c r="M657" s="869"/>
      <c r="N657" s="749"/>
      <c r="O657" s="749"/>
    </row>
    <row r="658" spans="3:15">
      <c r="C658" s="739">
        <f>IF(D631="","-",+C657+1)</f>
        <v>2037</v>
      </c>
      <c r="D658" s="691">
        <f t="shared" si="37"/>
        <v>1570667.8026315775</v>
      </c>
      <c r="E658" s="746">
        <f t="shared" si="41"/>
        <v>87259.322368421053</v>
      </c>
      <c r="F658" s="691">
        <f t="shared" si="36"/>
        <v>1483408.4802631564</v>
      </c>
      <c r="G658" s="1230">
        <f t="shared" si="38"/>
        <v>267586.30496035924</v>
      </c>
      <c r="H658" s="1233">
        <f t="shared" si="39"/>
        <v>267586.30496035924</v>
      </c>
      <c r="I658" s="743">
        <f t="shared" si="40"/>
        <v>0</v>
      </c>
      <c r="J658" s="743"/>
      <c r="K658" s="869"/>
      <c r="L658" s="749"/>
      <c r="M658" s="869"/>
      <c r="N658" s="749"/>
      <c r="O658" s="749"/>
    </row>
    <row r="659" spans="3:15">
      <c r="C659" s="739">
        <f>IF(D631="","-",+C658+1)</f>
        <v>2038</v>
      </c>
      <c r="D659" s="691">
        <f t="shared" si="37"/>
        <v>1483408.4802631564</v>
      </c>
      <c r="E659" s="746">
        <f t="shared" si="41"/>
        <v>87259.322368421053</v>
      </c>
      <c r="F659" s="691">
        <f t="shared" si="36"/>
        <v>1396149.1578947352</v>
      </c>
      <c r="G659" s="1230">
        <f t="shared" si="38"/>
        <v>257281.90595510561</v>
      </c>
      <c r="H659" s="1233">
        <f t="shared" si="39"/>
        <v>257281.90595510561</v>
      </c>
      <c r="I659" s="743">
        <f t="shared" si="40"/>
        <v>0</v>
      </c>
      <c r="J659" s="743"/>
      <c r="K659" s="869"/>
      <c r="L659" s="749"/>
      <c r="M659" s="869"/>
      <c r="N659" s="749"/>
      <c r="O659" s="749"/>
    </row>
    <row r="660" spans="3:15">
      <c r="C660" s="739">
        <f>IF(D631="","-",+C659+1)</f>
        <v>2039</v>
      </c>
      <c r="D660" s="691">
        <f t="shared" si="37"/>
        <v>1396149.1578947352</v>
      </c>
      <c r="E660" s="746">
        <f t="shared" si="41"/>
        <v>87259.322368421053</v>
      </c>
      <c r="F660" s="691">
        <f t="shared" si="36"/>
        <v>1308889.8355263141</v>
      </c>
      <c r="G660" s="1230">
        <f t="shared" si="38"/>
        <v>246977.50694985199</v>
      </c>
      <c r="H660" s="1233">
        <f t="shared" si="39"/>
        <v>246977.50694985199</v>
      </c>
      <c r="I660" s="743">
        <f t="shared" si="40"/>
        <v>0</v>
      </c>
      <c r="J660" s="743"/>
      <c r="K660" s="869"/>
      <c r="L660" s="749"/>
      <c r="M660" s="869"/>
      <c r="N660" s="749"/>
      <c r="O660" s="749"/>
    </row>
    <row r="661" spans="3:15">
      <c r="C661" s="739">
        <f>IF(D631="","-",+C660+1)</f>
        <v>2040</v>
      </c>
      <c r="D661" s="691">
        <f t="shared" si="37"/>
        <v>1308889.8355263141</v>
      </c>
      <c r="E661" s="746">
        <f t="shared" si="41"/>
        <v>87259.322368421053</v>
      </c>
      <c r="F661" s="691">
        <f t="shared" si="36"/>
        <v>1221630.513157893</v>
      </c>
      <c r="G661" s="1230">
        <f t="shared" si="38"/>
        <v>236673.10794459836</v>
      </c>
      <c r="H661" s="1233">
        <f t="shared" si="39"/>
        <v>236673.10794459836</v>
      </c>
      <c r="I661" s="743">
        <f t="shared" si="40"/>
        <v>0</v>
      </c>
      <c r="J661" s="743"/>
      <c r="K661" s="869"/>
      <c r="L661" s="749"/>
      <c r="M661" s="869"/>
      <c r="N661" s="749"/>
      <c r="O661" s="749"/>
    </row>
    <row r="662" spans="3:15">
      <c r="C662" s="739">
        <f>IF(D631="","-",+C661+1)</f>
        <v>2041</v>
      </c>
      <c r="D662" s="691">
        <f t="shared" si="37"/>
        <v>1221630.513157893</v>
      </c>
      <c r="E662" s="746">
        <f t="shared" si="41"/>
        <v>87259.322368421053</v>
      </c>
      <c r="F662" s="691">
        <f t="shared" si="36"/>
        <v>1134371.1907894718</v>
      </c>
      <c r="G662" s="1230">
        <f t="shared" si="38"/>
        <v>226368.70893934474</v>
      </c>
      <c r="H662" s="1233">
        <f t="shared" si="39"/>
        <v>226368.70893934474</v>
      </c>
      <c r="I662" s="743">
        <f t="shared" si="40"/>
        <v>0</v>
      </c>
      <c r="J662" s="743"/>
      <c r="K662" s="869"/>
      <c r="L662" s="749"/>
      <c r="M662" s="869"/>
      <c r="N662" s="749"/>
      <c r="O662" s="749"/>
    </row>
    <row r="663" spans="3:15">
      <c r="C663" s="739">
        <f>IF(D631="","-",+C662+1)</f>
        <v>2042</v>
      </c>
      <c r="D663" s="691">
        <f t="shared" si="37"/>
        <v>1134371.1907894718</v>
      </c>
      <c r="E663" s="746">
        <f t="shared" si="41"/>
        <v>87259.322368421053</v>
      </c>
      <c r="F663" s="691">
        <f t="shared" si="36"/>
        <v>1047111.8684210508</v>
      </c>
      <c r="G663" s="1230">
        <f t="shared" si="38"/>
        <v>216064.30993409111</v>
      </c>
      <c r="H663" s="1233">
        <f t="shared" si="39"/>
        <v>216064.30993409111</v>
      </c>
      <c r="I663" s="743">
        <f t="shared" si="40"/>
        <v>0</v>
      </c>
      <c r="J663" s="743"/>
      <c r="K663" s="869"/>
      <c r="L663" s="749"/>
      <c r="M663" s="869"/>
      <c r="N663" s="749"/>
      <c r="O663" s="749"/>
    </row>
    <row r="664" spans="3:15">
      <c r="C664" s="739">
        <f>IF(D631="","-",+C663+1)</f>
        <v>2043</v>
      </c>
      <c r="D664" s="691">
        <f t="shared" si="37"/>
        <v>1047111.8684210508</v>
      </c>
      <c r="E664" s="746">
        <f t="shared" si="41"/>
        <v>87259.322368421053</v>
      </c>
      <c r="F664" s="691">
        <f t="shared" si="36"/>
        <v>959852.54605262983</v>
      </c>
      <c r="G664" s="1230">
        <f t="shared" si="38"/>
        <v>205759.91092883749</v>
      </c>
      <c r="H664" s="1233">
        <f t="shared" si="39"/>
        <v>205759.91092883749</v>
      </c>
      <c r="I664" s="743">
        <f t="shared" si="40"/>
        <v>0</v>
      </c>
      <c r="J664" s="743"/>
      <c r="K664" s="869"/>
      <c r="L664" s="749"/>
      <c r="M664" s="869"/>
      <c r="N664" s="749"/>
      <c r="O664" s="749"/>
    </row>
    <row r="665" spans="3:15">
      <c r="C665" s="739">
        <f>IF(D631="","-",+C664+1)</f>
        <v>2044</v>
      </c>
      <c r="D665" s="691">
        <f t="shared" si="37"/>
        <v>959852.54605262983</v>
      </c>
      <c r="E665" s="746">
        <f t="shared" si="41"/>
        <v>87259.322368421053</v>
      </c>
      <c r="F665" s="691">
        <f t="shared" si="36"/>
        <v>872593.22368420882</v>
      </c>
      <c r="G665" s="1240">
        <f t="shared" si="38"/>
        <v>195455.51192358386</v>
      </c>
      <c r="H665" s="1233">
        <f t="shared" si="39"/>
        <v>195455.51192358386</v>
      </c>
      <c r="I665" s="743">
        <f t="shared" si="40"/>
        <v>0</v>
      </c>
      <c r="J665" s="743"/>
      <c r="K665" s="869"/>
      <c r="L665" s="749"/>
      <c r="M665" s="869"/>
      <c r="N665" s="749"/>
      <c r="O665" s="749"/>
    </row>
    <row r="666" spans="3:15">
      <c r="C666" s="739">
        <f>IF(D631="","-",+C665+1)</f>
        <v>2045</v>
      </c>
      <c r="D666" s="691">
        <f t="shared" si="37"/>
        <v>872593.22368420882</v>
      </c>
      <c r="E666" s="746">
        <f t="shared" si="41"/>
        <v>87259.322368421053</v>
      </c>
      <c r="F666" s="691">
        <f t="shared" si="36"/>
        <v>785333.90131578781</v>
      </c>
      <c r="G666" s="1230">
        <f t="shared" si="38"/>
        <v>185151.11291833024</v>
      </c>
      <c r="H666" s="1233">
        <f t="shared" si="39"/>
        <v>185151.11291833024</v>
      </c>
      <c r="I666" s="743">
        <f t="shared" si="40"/>
        <v>0</v>
      </c>
      <c r="J666" s="743"/>
      <c r="K666" s="869"/>
      <c r="L666" s="749"/>
      <c r="M666" s="869"/>
      <c r="N666" s="749"/>
      <c r="O666" s="749"/>
    </row>
    <row r="667" spans="3:15">
      <c r="C667" s="739">
        <f>IF(D631="","-",+C666+1)</f>
        <v>2046</v>
      </c>
      <c r="D667" s="691">
        <f t="shared" si="37"/>
        <v>785333.90131578781</v>
      </c>
      <c r="E667" s="746">
        <f t="shared" si="41"/>
        <v>87259.322368421053</v>
      </c>
      <c r="F667" s="691">
        <f t="shared" si="36"/>
        <v>698074.5789473668</v>
      </c>
      <c r="G667" s="1230">
        <f t="shared" si="38"/>
        <v>174846.71391307662</v>
      </c>
      <c r="H667" s="1233">
        <f t="shared" si="39"/>
        <v>174846.71391307662</v>
      </c>
      <c r="I667" s="743">
        <f t="shared" si="40"/>
        <v>0</v>
      </c>
      <c r="J667" s="743"/>
      <c r="K667" s="869"/>
      <c r="L667" s="749"/>
      <c r="M667" s="869"/>
      <c r="N667" s="749"/>
      <c r="O667" s="749"/>
    </row>
    <row r="668" spans="3:15">
      <c r="C668" s="739">
        <f>IF(D631="","-",+C667+1)</f>
        <v>2047</v>
      </c>
      <c r="D668" s="691">
        <f t="shared" si="37"/>
        <v>698074.5789473668</v>
      </c>
      <c r="E668" s="746">
        <f t="shared" si="41"/>
        <v>87259.322368421053</v>
      </c>
      <c r="F668" s="691">
        <f t="shared" si="36"/>
        <v>610815.25657894579</v>
      </c>
      <c r="G668" s="1230">
        <f t="shared" si="38"/>
        <v>164542.31490782305</v>
      </c>
      <c r="H668" s="1233">
        <f t="shared" si="39"/>
        <v>164542.31490782305</v>
      </c>
      <c r="I668" s="743">
        <f t="shared" si="40"/>
        <v>0</v>
      </c>
      <c r="J668" s="743"/>
      <c r="K668" s="869"/>
      <c r="L668" s="749"/>
      <c r="M668" s="869"/>
      <c r="N668" s="749"/>
      <c r="O668" s="749"/>
    </row>
    <row r="669" spans="3:15">
      <c r="C669" s="739">
        <f>IF(D631="","-",+C668+1)</f>
        <v>2048</v>
      </c>
      <c r="D669" s="691">
        <f t="shared" si="37"/>
        <v>610815.25657894579</v>
      </c>
      <c r="E669" s="746">
        <f t="shared" si="41"/>
        <v>87259.322368421053</v>
      </c>
      <c r="F669" s="691">
        <f t="shared" si="36"/>
        <v>523555.93421052472</v>
      </c>
      <c r="G669" s="1230">
        <f t="shared" si="38"/>
        <v>154237.9159025694</v>
      </c>
      <c r="H669" s="1233">
        <f t="shared" si="39"/>
        <v>154237.9159025694</v>
      </c>
      <c r="I669" s="743">
        <f t="shared" si="40"/>
        <v>0</v>
      </c>
      <c r="J669" s="743"/>
      <c r="K669" s="869"/>
      <c r="L669" s="749"/>
      <c r="M669" s="869"/>
      <c r="N669" s="749"/>
      <c r="O669" s="749"/>
    </row>
    <row r="670" spans="3:15">
      <c r="C670" s="739">
        <f>IF(D631="","-",+C669+1)</f>
        <v>2049</v>
      </c>
      <c r="D670" s="691">
        <f t="shared" si="37"/>
        <v>523555.93421052472</v>
      </c>
      <c r="E670" s="746">
        <f t="shared" si="41"/>
        <v>87259.322368421053</v>
      </c>
      <c r="F670" s="691">
        <f t="shared" si="36"/>
        <v>436296.61184210365</v>
      </c>
      <c r="G670" s="1230">
        <f t="shared" si="38"/>
        <v>143933.5168973158</v>
      </c>
      <c r="H670" s="1233">
        <f t="shared" si="39"/>
        <v>143933.5168973158</v>
      </c>
      <c r="I670" s="743">
        <f t="shared" si="40"/>
        <v>0</v>
      </c>
      <c r="J670" s="743"/>
      <c r="K670" s="869"/>
      <c r="L670" s="749"/>
      <c r="M670" s="869"/>
      <c r="N670" s="749"/>
      <c r="O670" s="749"/>
    </row>
    <row r="671" spans="3:15">
      <c r="C671" s="739">
        <f>IF(D631="","-",+C670+1)</f>
        <v>2050</v>
      </c>
      <c r="D671" s="691">
        <f t="shared" si="37"/>
        <v>436296.61184210365</v>
      </c>
      <c r="E671" s="746">
        <f t="shared" si="41"/>
        <v>87259.322368421053</v>
      </c>
      <c r="F671" s="691">
        <f t="shared" si="36"/>
        <v>349037.28947368258</v>
      </c>
      <c r="G671" s="1230">
        <f t="shared" si="38"/>
        <v>133629.11789206215</v>
      </c>
      <c r="H671" s="1233">
        <f t="shared" si="39"/>
        <v>133629.11789206215</v>
      </c>
      <c r="I671" s="743">
        <f t="shared" si="40"/>
        <v>0</v>
      </c>
      <c r="J671" s="743"/>
      <c r="K671" s="869"/>
      <c r="L671" s="749"/>
      <c r="M671" s="869"/>
      <c r="N671" s="749"/>
      <c r="O671" s="749"/>
    </row>
    <row r="672" spans="3:15">
      <c r="C672" s="739">
        <f>IF(D631="","-",+C671+1)</f>
        <v>2051</v>
      </c>
      <c r="D672" s="691">
        <f t="shared" si="37"/>
        <v>349037.28947368258</v>
      </c>
      <c r="E672" s="746">
        <f t="shared" si="41"/>
        <v>87259.322368421053</v>
      </c>
      <c r="F672" s="691">
        <f t="shared" si="36"/>
        <v>261777.96710526152</v>
      </c>
      <c r="G672" s="1230">
        <f t="shared" si="38"/>
        <v>123324.71888680854</v>
      </c>
      <c r="H672" s="1233">
        <f t="shared" si="39"/>
        <v>123324.71888680854</v>
      </c>
      <c r="I672" s="743">
        <f t="shared" si="40"/>
        <v>0</v>
      </c>
      <c r="J672" s="743"/>
      <c r="K672" s="869"/>
      <c r="L672" s="749"/>
      <c r="M672" s="869"/>
      <c r="N672" s="749"/>
      <c r="O672" s="749"/>
    </row>
    <row r="673" spans="3:15">
      <c r="C673" s="739">
        <f>IF(D631="","-",+C672+1)</f>
        <v>2052</v>
      </c>
      <c r="D673" s="691">
        <f t="shared" si="37"/>
        <v>261777.96710526152</v>
      </c>
      <c r="E673" s="746">
        <f t="shared" si="41"/>
        <v>87259.322368421053</v>
      </c>
      <c r="F673" s="691">
        <f t="shared" si="36"/>
        <v>174518.64473684045</v>
      </c>
      <c r="G673" s="1230">
        <f t="shared" si="38"/>
        <v>113020.31988155491</v>
      </c>
      <c r="H673" s="1233">
        <f t="shared" si="39"/>
        <v>113020.31988155491</v>
      </c>
      <c r="I673" s="743">
        <f t="shared" si="40"/>
        <v>0</v>
      </c>
      <c r="J673" s="743"/>
      <c r="K673" s="869"/>
      <c r="L673" s="749"/>
      <c r="M673" s="869"/>
      <c r="N673" s="749"/>
      <c r="O673" s="749"/>
    </row>
    <row r="674" spans="3:15">
      <c r="C674" s="739">
        <f>IF(D631="","-",+C673+1)</f>
        <v>2053</v>
      </c>
      <c r="D674" s="691">
        <f t="shared" si="37"/>
        <v>174518.64473684045</v>
      </c>
      <c r="E674" s="746">
        <f t="shared" si="41"/>
        <v>87259.322368421053</v>
      </c>
      <c r="F674" s="691">
        <f t="shared" si="36"/>
        <v>87259.322368419394</v>
      </c>
      <c r="G674" s="1230">
        <f t="shared" si="38"/>
        <v>102715.92087630129</v>
      </c>
      <c r="H674" s="1233">
        <f t="shared" si="39"/>
        <v>102715.92087630129</v>
      </c>
      <c r="I674" s="743">
        <f t="shared" si="40"/>
        <v>0</v>
      </c>
      <c r="J674" s="743"/>
      <c r="K674" s="869"/>
      <c r="L674" s="749"/>
      <c r="M674" s="869"/>
      <c r="N674" s="749"/>
      <c r="O674" s="749"/>
    </row>
    <row r="675" spans="3:15">
      <c r="C675" s="739">
        <f>IF(D631="","-",+C674+1)</f>
        <v>2054</v>
      </c>
      <c r="D675" s="691">
        <f t="shared" si="37"/>
        <v>87259.322368419394</v>
      </c>
      <c r="E675" s="746">
        <f t="shared" si="41"/>
        <v>87259.322368419394</v>
      </c>
      <c r="F675" s="691">
        <f t="shared" si="36"/>
        <v>0</v>
      </c>
      <c r="G675" s="1230">
        <f t="shared" si="38"/>
        <v>92411.521871046105</v>
      </c>
      <c r="H675" s="1233">
        <f t="shared" si="39"/>
        <v>92411.521871046105</v>
      </c>
      <c r="I675" s="743">
        <f t="shared" si="40"/>
        <v>0</v>
      </c>
      <c r="J675" s="743"/>
      <c r="K675" s="869"/>
      <c r="L675" s="749"/>
      <c r="M675" s="869"/>
      <c r="N675" s="749"/>
      <c r="O675" s="749"/>
    </row>
    <row r="676" spans="3:15">
      <c r="C676" s="739">
        <f>IF(D631="","-",+C675+1)</f>
        <v>2055</v>
      </c>
      <c r="D676" s="691">
        <f t="shared" si="37"/>
        <v>0</v>
      </c>
      <c r="E676" s="746">
        <f t="shared" si="41"/>
        <v>0</v>
      </c>
      <c r="F676" s="691">
        <f t="shared" si="36"/>
        <v>0</v>
      </c>
      <c r="G676" s="1230">
        <f t="shared" si="38"/>
        <v>0</v>
      </c>
      <c r="H676" s="1233">
        <f t="shared" si="39"/>
        <v>0</v>
      </c>
      <c r="I676" s="743">
        <f t="shared" si="40"/>
        <v>0</v>
      </c>
      <c r="J676" s="743"/>
      <c r="K676" s="869"/>
      <c r="L676" s="749"/>
      <c r="M676" s="869"/>
      <c r="N676" s="749"/>
      <c r="O676" s="749"/>
    </row>
    <row r="677" spans="3:15">
      <c r="C677" s="739">
        <f>IF(D631="","-",+C676+1)</f>
        <v>2056</v>
      </c>
      <c r="D677" s="691">
        <f t="shared" si="37"/>
        <v>0</v>
      </c>
      <c r="E677" s="746">
        <f t="shared" si="41"/>
        <v>0</v>
      </c>
      <c r="F677" s="691">
        <f t="shared" si="36"/>
        <v>0</v>
      </c>
      <c r="G677" s="1230">
        <f t="shared" si="38"/>
        <v>0</v>
      </c>
      <c r="H677" s="1233">
        <f t="shared" si="39"/>
        <v>0</v>
      </c>
      <c r="I677" s="743">
        <f t="shared" si="40"/>
        <v>0</v>
      </c>
      <c r="J677" s="743"/>
      <c r="K677" s="869"/>
      <c r="L677" s="749"/>
      <c r="M677" s="869"/>
      <c r="N677" s="749"/>
      <c r="O677" s="749"/>
    </row>
    <row r="678" spans="3:15">
      <c r="C678" s="739">
        <f>IF(D631="","-",+C677+1)</f>
        <v>2057</v>
      </c>
      <c r="D678" s="691">
        <f t="shared" si="37"/>
        <v>0</v>
      </c>
      <c r="E678" s="746">
        <f t="shared" si="41"/>
        <v>0</v>
      </c>
      <c r="F678" s="691">
        <f t="shared" si="36"/>
        <v>0</v>
      </c>
      <c r="G678" s="1230">
        <f t="shared" si="38"/>
        <v>0</v>
      </c>
      <c r="H678" s="1233">
        <f t="shared" si="39"/>
        <v>0</v>
      </c>
      <c r="I678" s="743">
        <f t="shared" si="40"/>
        <v>0</v>
      </c>
      <c r="J678" s="743"/>
      <c r="K678" s="869"/>
      <c r="L678" s="749"/>
      <c r="M678" s="869"/>
      <c r="N678" s="749"/>
      <c r="O678" s="749"/>
    </row>
    <row r="679" spans="3:15">
      <c r="C679" s="739">
        <f>IF(D631="","-",+C678+1)</f>
        <v>2058</v>
      </c>
      <c r="D679" s="691">
        <f t="shared" si="37"/>
        <v>0</v>
      </c>
      <c r="E679" s="746">
        <f t="shared" si="41"/>
        <v>0</v>
      </c>
      <c r="F679" s="691">
        <f t="shared" si="36"/>
        <v>0</v>
      </c>
      <c r="G679" s="1230">
        <f t="shared" si="38"/>
        <v>0</v>
      </c>
      <c r="H679" s="1233">
        <f t="shared" si="39"/>
        <v>0</v>
      </c>
      <c r="I679" s="743">
        <f t="shared" si="40"/>
        <v>0</v>
      </c>
      <c r="J679" s="743"/>
      <c r="K679" s="869"/>
      <c r="L679" s="749"/>
      <c r="M679" s="869"/>
      <c r="N679" s="749"/>
      <c r="O679" s="749"/>
    </row>
    <row r="680" spans="3:15">
      <c r="C680" s="739">
        <f>IF(D631="","-",+C679+1)</f>
        <v>2059</v>
      </c>
      <c r="D680" s="691">
        <f t="shared" si="37"/>
        <v>0</v>
      </c>
      <c r="E680" s="746">
        <f t="shared" si="41"/>
        <v>0</v>
      </c>
      <c r="F680" s="691">
        <f t="shared" si="36"/>
        <v>0</v>
      </c>
      <c r="G680" s="1230">
        <f t="shared" si="38"/>
        <v>0</v>
      </c>
      <c r="H680" s="1233">
        <f t="shared" si="39"/>
        <v>0</v>
      </c>
      <c r="I680" s="743">
        <f t="shared" si="40"/>
        <v>0</v>
      </c>
      <c r="J680" s="743"/>
      <c r="K680" s="869"/>
      <c r="L680" s="749"/>
      <c r="M680" s="869"/>
      <c r="N680" s="749"/>
      <c r="O680" s="749"/>
    </row>
    <row r="681" spans="3:15">
      <c r="C681" s="739">
        <f>IF(D631="","-",+C680+1)</f>
        <v>2060</v>
      </c>
      <c r="D681" s="691">
        <f t="shared" si="37"/>
        <v>0</v>
      </c>
      <c r="E681" s="746">
        <f t="shared" si="41"/>
        <v>0</v>
      </c>
      <c r="F681" s="691">
        <f t="shared" si="36"/>
        <v>0</v>
      </c>
      <c r="G681" s="1230">
        <f t="shared" si="38"/>
        <v>0</v>
      </c>
      <c r="H681" s="1233">
        <f t="shared" si="39"/>
        <v>0</v>
      </c>
      <c r="I681" s="743">
        <f t="shared" si="40"/>
        <v>0</v>
      </c>
      <c r="J681" s="743"/>
      <c r="K681" s="869"/>
      <c r="L681" s="749"/>
      <c r="M681" s="869"/>
      <c r="N681" s="749"/>
      <c r="O681" s="749"/>
    </row>
    <row r="682" spans="3:15">
      <c r="C682" s="739">
        <f>IF(D631="","-",+C681+1)</f>
        <v>2061</v>
      </c>
      <c r="D682" s="691">
        <f t="shared" si="37"/>
        <v>0</v>
      </c>
      <c r="E682" s="746">
        <f t="shared" si="41"/>
        <v>0</v>
      </c>
      <c r="F682" s="691">
        <f t="shared" si="36"/>
        <v>0</v>
      </c>
      <c r="G682" s="1230">
        <f t="shared" si="38"/>
        <v>0</v>
      </c>
      <c r="H682" s="1233">
        <f t="shared" si="39"/>
        <v>0</v>
      </c>
      <c r="I682" s="743">
        <f t="shared" si="40"/>
        <v>0</v>
      </c>
      <c r="J682" s="743"/>
      <c r="K682" s="869"/>
      <c r="L682" s="749"/>
      <c r="M682" s="869"/>
      <c r="N682" s="749"/>
      <c r="O682" s="749"/>
    </row>
    <row r="683" spans="3:15">
      <c r="C683" s="739">
        <f>IF(D631="","-",+C682+1)</f>
        <v>2062</v>
      </c>
      <c r="D683" s="691">
        <f t="shared" si="37"/>
        <v>0</v>
      </c>
      <c r="E683" s="746">
        <f t="shared" si="41"/>
        <v>0</v>
      </c>
      <c r="F683" s="691">
        <f t="shared" si="36"/>
        <v>0</v>
      </c>
      <c r="G683" s="1230">
        <f t="shared" si="38"/>
        <v>0</v>
      </c>
      <c r="H683" s="1233">
        <f t="shared" si="39"/>
        <v>0</v>
      </c>
      <c r="I683" s="743">
        <f t="shared" si="40"/>
        <v>0</v>
      </c>
      <c r="J683" s="743"/>
      <c r="K683" s="869"/>
      <c r="L683" s="749"/>
      <c r="M683" s="869"/>
      <c r="N683" s="749"/>
      <c r="O683" s="749"/>
    </row>
    <row r="684" spans="3:15">
      <c r="C684" s="739">
        <f>IF(D631="","-",+C683+1)</f>
        <v>2063</v>
      </c>
      <c r="D684" s="691">
        <f t="shared" si="37"/>
        <v>0</v>
      </c>
      <c r="E684" s="746">
        <f t="shared" si="41"/>
        <v>0</v>
      </c>
      <c r="F684" s="691">
        <f t="shared" si="36"/>
        <v>0</v>
      </c>
      <c r="G684" s="1230">
        <f t="shared" si="38"/>
        <v>0</v>
      </c>
      <c r="H684" s="1233">
        <f t="shared" si="39"/>
        <v>0</v>
      </c>
      <c r="I684" s="743">
        <f t="shared" si="40"/>
        <v>0</v>
      </c>
      <c r="J684" s="743"/>
      <c r="K684" s="869"/>
      <c r="L684" s="749"/>
      <c r="M684" s="869"/>
      <c r="N684" s="749"/>
      <c r="O684" s="749"/>
    </row>
    <row r="685" spans="3:15">
      <c r="C685" s="739">
        <f>IF(D631="","-",+C684+1)</f>
        <v>2064</v>
      </c>
      <c r="D685" s="691">
        <f t="shared" si="37"/>
        <v>0</v>
      </c>
      <c r="E685" s="746">
        <f t="shared" si="41"/>
        <v>0</v>
      </c>
      <c r="F685" s="691">
        <f t="shared" si="36"/>
        <v>0</v>
      </c>
      <c r="G685" s="1230">
        <f t="shared" si="38"/>
        <v>0</v>
      </c>
      <c r="H685" s="1233">
        <f t="shared" si="39"/>
        <v>0</v>
      </c>
      <c r="I685" s="743">
        <f t="shared" si="40"/>
        <v>0</v>
      </c>
      <c r="J685" s="743"/>
      <c r="K685" s="869"/>
      <c r="L685" s="749"/>
      <c r="M685" s="869"/>
      <c r="N685" s="749"/>
      <c r="O685" s="749"/>
    </row>
    <row r="686" spans="3:15">
      <c r="C686" s="739">
        <f>IF(D631="","-",+C685+1)</f>
        <v>2065</v>
      </c>
      <c r="D686" s="691">
        <f t="shared" si="37"/>
        <v>0</v>
      </c>
      <c r="E686" s="746">
        <f t="shared" si="41"/>
        <v>0</v>
      </c>
      <c r="F686" s="691">
        <f t="shared" si="36"/>
        <v>0</v>
      </c>
      <c r="G686" s="1230">
        <f t="shared" si="38"/>
        <v>0</v>
      </c>
      <c r="H686" s="1233">
        <f t="shared" si="39"/>
        <v>0</v>
      </c>
      <c r="I686" s="743">
        <f t="shared" si="40"/>
        <v>0</v>
      </c>
      <c r="J686" s="743"/>
      <c r="K686" s="869"/>
      <c r="L686" s="749"/>
      <c r="M686" s="869"/>
      <c r="N686" s="749"/>
      <c r="O686" s="749"/>
    </row>
    <row r="687" spans="3:15">
      <c r="C687" s="739">
        <f>IF(D631="","-",+C686+1)</f>
        <v>2066</v>
      </c>
      <c r="D687" s="691">
        <f t="shared" si="37"/>
        <v>0</v>
      </c>
      <c r="E687" s="746">
        <f t="shared" si="41"/>
        <v>0</v>
      </c>
      <c r="F687" s="691">
        <f t="shared" si="36"/>
        <v>0</v>
      </c>
      <c r="G687" s="1230">
        <f t="shared" si="38"/>
        <v>0</v>
      </c>
      <c r="H687" s="1233">
        <f t="shared" si="39"/>
        <v>0</v>
      </c>
      <c r="I687" s="743">
        <f t="shared" si="40"/>
        <v>0</v>
      </c>
      <c r="J687" s="743"/>
      <c r="K687" s="869"/>
      <c r="L687" s="749"/>
      <c r="M687" s="869"/>
      <c r="N687" s="749"/>
      <c r="O687" s="749"/>
    </row>
    <row r="688" spans="3:15">
      <c r="C688" s="739">
        <f>IF(D631="","-",+C687+1)</f>
        <v>2067</v>
      </c>
      <c r="D688" s="691">
        <f t="shared" si="37"/>
        <v>0</v>
      </c>
      <c r="E688" s="746">
        <f t="shared" si="41"/>
        <v>0</v>
      </c>
      <c r="F688" s="691">
        <f t="shared" si="36"/>
        <v>0</v>
      </c>
      <c r="G688" s="1230">
        <f t="shared" si="38"/>
        <v>0</v>
      </c>
      <c r="H688" s="1233">
        <f t="shared" si="39"/>
        <v>0</v>
      </c>
      <c r="I688" s="743">
        <f t="shared" si="40"/>
        <v>0</v>
      </c>
      <c r="J688" s="743"/>
      <c r="K688" s="869"/>
      <c r="L688" s="749"/>
      <c r="M688" s="869"/>
      <c r="N688" s="749"/>
      <c r="O688" s="749"/>
    </row>
    <row r="689" spans="3:15">
      <c r="C689" s="739">
        <f>IF(D631="","-",+C688+1)</f>
        <v>2068</v>
      </c>
      <c r="D689" s="691">
        <f t="shared" si="37"/>
        <v>0</v>
      </c>
      <c r="E689" s="746">
        <f t="shared" si="41"/>
        <v>0</v>
      </c>
      <c r="F689" s="691">
        <f t="shared" si="36"/>
        <v>0</v>
      </c>
      <c r="G689" s="1230">
        <f t="shared" si="38"/>
        <v>0</v>
      </c>
      <c r="H689" s="1233">
        <f t="shared" si="39"/>
        <v>0</v>
      </c>
      <c r="I689" s="743">
        <f t="shared" si="40"/>
        <v>0</v>
      </c>
      <c r="J689" s="743"/>
      <c r="K689" s="869"/>
      <c r="L689" s="749"/>
      <c r="M689" s="869"/>
      <c r="N689" s="749"/>
      <c r="O689" s="749"/>
    </row>
    <row r="690" spans="3:15">
      <c r="C690" s="739">
        <f>IF(D631="","-",+C689+1)</f>
        <v>2069</v>
      </c>
      <c r="D690" s="691">
        <f t="shared" si="37"/>
        <v>0</v>
      </c>
      <c r="E690" s="746">
        <f t="shared" si="41"/>
        <v>0</v>
      </c>
      <c r="F690" s="691">
        <f t="shared" si="36"/>
        <v>0</v>
      </c>
      <c r="G690" s="1230">
        <f t="shared" si="38"/>
        <v>0</v>
      </c>
      <c r="H690" s="1233">
        <f t="shared" si="39"/>
        <v>0</v>
      </c>
      <c r="I690" s="743">
        <f t="shared" si="40"/>
        <v>0</v>
      </c>
      <c r="J690" s="743"/>
      <c r="K690" s="869"/>
      <c r="L690" s="749"/>
      <c r="M690" s="869"/>
      <c r="N690" s="749"/>
      <c r="O690" s="749"/>
    </row>
    <row r="691" spans="3:15">
      <c r="C691" s="739">
        <f>IF(D631="","-",+C690+1)</f>
        <v>2070</v>
      </c>
      <c r="D691" s="691">
        <f t="shared" si="37"/>
        <v>0</v>
      </c>
      <c r="E691" s="746">
        <f t="shared" si="41"/>
        <v>0</v>
      </c>
      <c r="F691" s="691">
        <f t="shared" si="36"/>
        <v>0</v>
      </c>
      <c r="G691" s="1230">
        <f t="shared" si="38"/>
        <v>0</v>
      </c>
      <c r="H691" s="1233">
        <f t="shared" si="39"/>
        <v>0</v>
      </c>
      <c r="I691" s="743">
        <f t="shared" si="40"/>
        <v>0</v>
      </c>
      <c r="J691" s="743"/>
      <c r="K691" s="869"/>
      <c r="L691" s="749"/>
      <c r="M691" s="869"/>
      <c r="N691" s="749"/>
      <c r="O691" s="749"/>
    </row>
    <row r="692" spans="3:15">
      <c r="C692" s="739">
        <f>IF(D631="","-",+C691+1)</f>
        <v>2071</v>
      </c>
      <c r="D692" s="691">
        <f t="shared" si="37"/>
        <v>0</v>
      </c>
      <c r="E692" s="746">
        <f t="shared" si="41"/>
        <v>0</v>
      </c>
      <c r="F692" s="691">
        <f t="shared" si="36"/>
        <v>0</v>
      </c>
      <c r="G692" s="1230">
        <f t="shared" si="38"/>
        <v>0</v>
      </c>
      <c r="H692" s="1233">
        <f t="shared" si="39"/>
        <v>0</v>
      </c>
      <c r="I692" s="743">
        <f t="shared" si="40"/>
        <v>0</v>
      </c>
      <c r="J692" s="743"/>
      <c r="K692" s="869"/>
      <c r="L692" s="749"/>
      <c r="M692" s="869"/>
      <c r="N692" s="749"/>
      <c r="O692" s="749"/>
    </row>
    <row r="693" spans="3:15">
      <c r="C693" s="739">
        <f>IF(D631="","-",+C692+1)</f>
        <v>2072</v>
      </c>
      <c r="D693" s="691">
        <f t="shared" si="37"/>
        <v>0</v>
      </c>
      <c r="E693" s="746">
        <f t="shared" si="41"/>
        <v>0</v>
      </c>
      <c r="F693" s="691">
        <f t="shared" si="36"/>
        <v>0</v>
      </c>
      <c r="G693" s="1230">
        <f t="shared" si="38"/>
        <v>0</v>
      </c>
      <c r="H693" s="1233">
        <f t="shared" si="39"/>
        <v>0</v>
      </c>
      <c r="I693" s="743">
        <f t="shared" si="40"/>
        <v>0</v>
      </c>
      <c r="J693" s="743"/>
      <c r="K693" s="869"/>
      <c r="L693" s="749"/>
      <c r="M693" s="869"/>
      <c r="N693" s="749"/>
      <c r="O693" s="749"/>
    </row>
    <row r="694" spans="3:15">
      <c r="C694" s="739">
        <f>IF(D631="","-",+C693+1)</f>
        <v>2073</v>
      </c>
      <c r="D694" s="691">
        <f t="shared" si="37"/>
        <v>0</v>
      </c>
      <c r="E694" s="746">
        <f t="shared" si="41"/>
        <v>0</v>
      </c>
      <c r="F694" s="691">
        <f t="shared" si="36"/>
        <v>0</v>
      </c>
      <c r="G694" s="1230">
        <f t="shared" si="38"/>
        <v>0</v>
      </c>
      <c r="H694" s="1233">
        <f t="shared" si="39"/>
        <v>0</v>
      </c>
      <c r="I694" s="743">
        <f t="shared" si="40"/>
        <v>0</v>
      </c>
      <c r="J694" s="743"/>
      <c r="K694" s="869"/>
      <c r="L694" s="749"/>
      <c r="M694" s="869"/>
      <c r="N694" s="749"/>
      <c r="O694" s="749"/>
    </row>
    <row r="695" spans="3:15">
      <c r="C695" s="739">
        <f>IF(D631="","-",+C694+1)</f>
        <v>2074</v>
      </c>
      <c r="D695" s="691">
        <f t="shared" si="37"/>
        <v>0</v>
      </c>
      <c r="E695" s="746">
        <f t="shared" si="41"/>
        <v>0</v>
      </c>
      <c r="F695" s="691">
        <f t="shared" si="36"/>
        <v>0</v>
      </c>
      <c r="G695" s="1230">
        <f t="shared" si="38"/>
        <v>0</v>
      </c>
      <c r="H695" s="1233">
        <f t="shared" si="39"/>
        <v>0</v>
      </c>
      <c r="I695" s="743">
        <f t="shared" si="40"/>
        <v>0</v>
      </c>
      <c r="J695" s="743"/>
      <c r="K695" s="869"/>
      <c r="L695" s="749"/>
      <c r="M695" s="869"/>
      <c r="N695" s="749"/>
      <c r="O695" s="749"/>
    </row>
    <row r="696" spans="3:15" ht="13.5" thickBot="1">
      <c r="C696" s="750">
        <f>IF(D631="","-",+C695+1)</f>
        <v>2075</v>
      </c>
      <c r="D696" s="751">
        <f t="shared" si="37"/>
        <v>0</v>
      </c>
      <c r="E696" s="752">
        <f t="shared" si="41"/>
        <v>0</v>
      </c>
      <c r="F696" s="751">
        <f t="shared" si="36"/>
        <v>0</v>
      </c>
      <c r="G696" s="1241">
        <f t="shared" si="38"/>
        <v>0</v>
      </c>
      <c r="H696" s="1241">
        <f t="shared" si="39"/>
        <v>0</v>
      </c>
      <c r="I696" s="754">
        <f t="shared" si="40"/>
        <v>0</v>
      </c>
      <c r="J696" s="743"/>
      <c r="K696" s="870"/>
      <c r="L696" s="756"/>
      <c r="M696" s="870"/>
      <c r="N696" s="756"/>
      <c r="O696" s="756"/>
    </row>
    <row r="697" spans="3:15">
      <c r="C697" s="691" t="s">
        <v>289</v>
      </c>
      <c r="D697" s="1211"/>
      <c r="E697" s="1211">
        <f>SUM(E637:E696)</f>
        <v>3315854.2499999995</v>
      </c>
      <c r="F697" s="1211"/>
      <c r="G697" s="1211">
        <f>SUM(G637:G696)</f>
        <v>11147197.493992746</v>
      </c>
      <c r="H697" s="1211">
        <f>SUM(H637:H696)</f>
        <v>11147197.493992746</v>
      </c>
      <c r="I697" s="1211">
        <f>SUM(I637:I696)</f>
        <v>0</v>
      </c>
      <c r="J697" s="1211"/>
      <c r="K697" s="1211"/>
      <c r="L697" s="1211"/>
      <c r="M697" s="1211"/>
      <c r="N697" s="1211"/>
      <c r="O697" s="558"/>
    </row>
    <row r="698" spans="3:15">
      <c r="D698" s="581"/>
      <c r="E698" s="558"/>
      <c r="F698" s="558"/>
      <c r="G698" s="558"/>
      <c r="H698" s="1210"/>
      <c r="I698" s="1210"/>
      <c r="J698" s="1211"/>
      <c r="K698" s="1210"/>
      <c r="L698" s="1210"/>
      <c r="M698" s="1210"/>
      <c r="N698" s="1210"/>
      <c r="O698" s="558"/>
    </row>
    <row r="699" spans="3:15">
      <c r="C699" s="1242" t="s">
        <v>926</v>
      </c>
      <c r="D699" s="581"/>
      <c r="E699" s="558"/>
      <c r="F699" s="558"/>
      <c r="G699" s="558"/>
      <c r="H699" s="1210"/>
      <c r="I699" s="1210"/>
      <c r="J699" s="1211"/>
      <c r="K699" s="1210"/>
      <c r="L699" s="1210"/>
      <c r="M699" s="1210"/>
      <c r="N699" s="1210"/>
      <c r="O699" s="558"/>
    </row>
    <row r="700" spans="3:15">
      <c r="D700" s="581"/>
      <c r="E700" s="558"/>
      <c r="F700" s="558"/>
      <c r="G700" s="558"/>
      <c r="H700" s="1210"/>
      <c r="I700" s="1210"/>
      <c r="J700" s="1211"/>
      <c r="K700" s="1210"/>
      <c r="L700" s="1210"/>
      <c r="M700" s="1210"/>
      <c r="N700" s="1210"/>
      <c r="O700" s="558"/>
    </row>
    <row r="701" spans="3:15">
      <c r="C701" s="704" t="s">
        <v>927</v>
      </c>
      <c r="D701" s="691"/>
      <c r="E701" s="691"/>
      <c r="F701" s="691"/>
      <c r="G701" s="1211"/>
      <c r="H701" s="1211"/>
      <c r="I701" s="692"/>
      <c r="J701" s="692"/>
      <c r="K701" s="692"/>
      <c r="L701" s="692"/>
      <c r="M701" s="692"/>
      <c r="N701" s="692"/>
      <c r="O701" s="558"/>
    </row>
    <row r="702" spans="3:15">
      <c r="C702" s="690" t="s">
        <v>477</v>
      </c>
      <c r="D702" s="691"/>
      <c r="E702" s="691"/>
      <c r="F702" s="691"/>
      <c r="G702" s="1211"/>
      <c r="H702" s="1211"/>
      <c r="I702" s="692"/>
      <c r="J702" s="692"/>
      <c r="K702" s="692"/>
      <c r="L702" s="692"/>
      <c r="M702" s="692"/>
      <c r="N702" s="692"/>
      <c r="O702" s="558"/>
    </row>
    <row r="703" spans="3:15">
      <c r="C703" s="690" t="s">
        <v>290</v>
      </c>
      <c r="D703" s="691"/>
      <c r="E703" s="691"/>
      <c r="F703" s="691"/>
      <c r="G703" s="1211"/>
      <c r="H703" s="1211"/>
      <c r="I703" s="692"/>
      <c r="J703" s="692"/>
      <c r="K703" s="692"/>
      <c r="L703" s="692"/>
      <c r="M703" s="692"/>
      <c r="N703" s="692"/>
      <c r="O703" s="558"/>
    </row>
    <row r="704" spans="3:15">
      <c r="C704" s="690"/>
      <c r="D704" s="691"/>
      <c r="E704" s="691"/>
      <c r="F704" s="691"/>
      <c r="G704" s="1211"/>
      <c r="H704" s="1211"/>
      <c r="I704" s="692"/>
      <c r="J704" s="692"/>
      <c r="K704" s="692"/>
      <c r="L704" s="692"/>
      <c r="M704" s="692"/>
      <c r="N704" s="692"/>
      <c r="O704" s="558"/>
    </row>
    <row r="705" spans="1:16">
      <c r="C705" s="1601" t="s">
        <v>461</v>
      </c>
      <c r="D705" s="1601"/>
      <c r="E705" s="1601"/>
      <c r="F705" s="1601"/>
      <c r="G705" s="1601"/>
      <c r="H705" s="1601"/>
      <c r="I705" s="1601"/>
      <c r="J705" s="1601"/>
      <c r="K705" s="1601"/>
      <c r="L705" s="1601"/>
      <c r="M705" s="1601"/>
      <c r="N705" s="1601"/>
      <c r="O705" s="1601"/>
    </row>
    <row r="706" spans="1:16">
      <c r="C706" s="1601"/>
      <c r="D706" s="1601"/>
      <c r="E706" s="1601"/>
      <c r="F706" s="1601"/>
      <c r="G706" s="1601"/>
      <c r="H706" s="1601"/>
      <c r="I706" s="1601"/>
      <c r="J706" s="1601"/>
      <c r="K706" s="1601"/>
      <c r="L706" s="1601"/>
      <c r="M706" s="1601"/>
      <c r="N706" s="1601"/>
      <c r="O706" s="1601"/>
    </row>
    <row r="707" spans="1:16" ht="20.25">
      <c r="A707" s="693" t="s">
        <v>923</v>
      </c>
      <c r="B707" s="594"/>
      <c r="C707" s="673"/>
      <c r="D707" s="581"/>
      <c r="E707" s="558"/>
      <c r="F707" s="663"/>
      <c r="G707" s="558"/>
      <c r="H707" s="1210"/>
      <c r="K707" s="694"/>
      <c r="L707" s="694"/>
      <c r="M707" s="694"/>
      <c r="N707" s="609" t="str">
        <f>"Page "&amp;P707&amp;" of "</f>
        <v xml:space="preserve">Page 9 of </v>
      </c>
      <c r="O707" s="610">
        <f>COUNT(P$6:P$59527)</f>
        <v>10</v>
      </c>
      <c r="P707" s="558">
        <v>9</v>
      </c>
    </row>
    <row r="708" spans="1:16">
      <c r="B708" s="594"/>
      <c r="C708" s="558"/>
      <c r="D708" s="581"/>
      <c r="E708" s="558"/>
      <c r="F708" s="558"/>
      <c r="G708" s="558"/>
      <c r="H708" s="1210"/>
      <c r="I708" s="558"/>
      <c r="J708" s="606"/>
      <c r="K708" s="558"/>
      <c r="L708" s="558"/>
      <c r="M708" s="558"/>
      <c r="N708" s="558"/>
      <c r="O708" s="558"/>
    </row>
    <row r="709" spans="1:16" ht="18">
      <c r="B709" s="613" t="s">
        <v>175</v>
      </c>
      <c r="C709" s="695" t="s">
        <v>291</v>
      </c>
      <c r="D709" s="581"/>
      <c r="E709" s="558"/>
      <c r="F709" s="558"/>
      <c r="G709" s="558"/>
      <c r="H709" s="1210"/>
      <c r="I709" s="1210"/>
      <c r="J709" s="1211"/>
      <c r="K709" s="1210"/>
      <c r="L709" s="1210"/>
      <c r="M709" s="1210"/>
      <c r="N709" s="1210"/>
      <c r="O709" s="558"/>
    </row>
    <row r="710" spans="1:16" ht="18.75">
      <c r="B710" s="613"/>
      <c r="C710" s="612"/>
      <c r="D710" s="581"/>
      <c r="E710" s="558"/>
      <c r="F710" s="558"/>
      <c r="G710" s="558"/>
      <c r="H710" s="1210"/>
      <c r="I710" s="1210"/>
      <c r="J710" s="1211"/>
      <c r="K710" s="1210"/>
      <c r="L710" s="1210"/>
      <c r="M710" s="1210"/>
      <c r="N710" s="1210"/>
      <c r="O710" s="558"/>
    </row>
    <row r="711" spans="1:16" ht="18.75">
      <c r="B711" s="613"/>
      <c r="C711" s="612" t="s">
        <v>292</v>
      </c>
      <c r="D711" s="581"/>
      <c r="E711" s="558"/>
      <c r="F711" s="558"/>
      <c r="G711" s="558"/>
      <c r="H711" s="1210"/>
      <c r="I711" s="1210"/>
      <c r="J711" s="1211"/>
      <c r="K711" s="1210"/>
      <c r="L711" s="1210"/>
      <c r="M711" s="1210"/>
      <c r="N711" s="1210"/>
      <c r="O711" s="558"/>
    </row>
    <row r="712" spans="1:16" ht="15.75" thickBot="1">
      <c r="C712" s="411"/>
      <c r="D712" s="581"/>
      <c r="E712" s="558"/>
      <c r="F712" s="558"/>
      <c r="G712" s="558"/>
      <c r="H712" s="1210"/>
      <c r="I712" s="1210"/>
      <c r="J712" s="1211"/>
      <c r="K712" s="1210"/>
      <c r="L712" s="1210"/>
      <c r="M712" s="1210"/>
      <c r="N712" s="1210"/>
      <c r="O712" s="558"/>
    </row>
    <row r="713" spans="1:16" ht="15.75">
      <c r="C713" s="614" t="s">
        <v>293</v>
      </c>
      <c r="D713" s="581"/>
      <c r="E713" s="558"/>
      <c r="F713" s="558"/>
      <c r="G713" s="1212"/>
      <c r="H713" s="558" t="s">
        <v>272</v>
      </c>
      <c r="I713" s="558"/>
      <c r="J713" s="606"/>
      <c r="K713" s="696" t="s">
        <v>297</v>
      </c>
      <c r="L713" s="697"/>
      <c r="M713" s="698"/>
      <c r="N713" s="1213">
        <f>VLOOKUP(I719,C726:O785,5)</f>
        <v>82213.905040394297</v>
      </c>
      <c r="O713" s="558"/>
    </row>
    <row r="714" spans="1:16" ht="15.75">
      <c r="C714" s="614"/>
      <c r="D714" s="581"/>
      <c r="E714" s="558"/>
      <c r="F714" s="558"/>
      <c r="G714" s="558"/>
      <c r="H714" s="1214"/>
      <c r="I714" s="1214"/>
      <c r="J714" s="1215"/>
      <c r="K714" s="701" t="s">
        <v>298</v>
      </c>
      <c r="L714" s="1216"/>
      <c r="M714" s="606"/>
      <c r="N714" s="1217">
        <f>VLOOKUP(I719,C726:O785,6)</f>
        <v>82213.905040394297</v>
      </c>
      <c r="O714" s="558"/>
    </row>
    <row r="715" spans="1:16" ht="13.5" thickBot="1">
      <c r="C715" s="702" t="s">
        <v>294</v>
      </c>
      <c r="D715" s="1610" t="s">
        <v>941</v>
      </c>
      <c r="E715" s="1611"/>
      <c r="F715" s="1611"/>
      <c r="G715" s="1611"/>
      <c r="H715" s="1611"/>
      <c r="I715" s="1611"/>
      <c r="J715" s="1211"/>
      <c r="K715" s="1218" t="s">
        <v>451</v>
      </c>
      <c r="L715" s="1219"/>
      <c r="M715" s="1219"/>
      <c r="N715" s="1220">
        <f>+N714-N713</f>
        <v>0</v>
      </c>
      <c r="O715" s="558"/>
    </row>
    <row r="716" spans="1:16">
      <c r="C716" s="704"/>
      <c r="D716" s="1611"/>
      <c r="E716" s="1611"/>
      <c r="F716" s="1611"/>
      <c r="G716" s="1611"/>
      <c r="H716" s="1611"/>
      <c r="I716" s="1611"/>
      <c r="J716" s="1211"/>
      <c r="K716" s="1210"/>
      <c r="L716" s="1210"/>
      <c r="M716" s="1210"/>
      <c r="N716" s="1210"/>
      <c r="O716" s="558"/>
    </row>
    <row r="717" spans="1:16" ht="13.5" thickBot="1">
      <c r="C717" s="707"/>
      <c r="D717" s="708"/>
      <c r="E717" s="706"/>
      <c r="F717" s="706"/>
      <c r="G717" s="706"/>
      <c r="H717" s="706"/>
      <c r="I717" s="706"/>
      <c r="J717" s="709"/>
      <c r="K717" s="706"/>
      <c r="L717" s="706"/>
      <c r="M717" s="706"/>
      <c r="N717" s="706"/>
      <c r="O717" s="594"/>
    </row>
    <row r="718" spans="1:16" ht="13.5" thickBot="1">
      <c r="C718" s="710" t="s">
        <v>295</v>
      </c>
      <c r="D718" s="711"/>
      <c r="E718" s="711"/>
      <c r="F718" s="711"/>
      <c r="G718" s="711"/>
      <c r="H718" s="711"/>
      <c r="I718" s="712"/>
      <c r="J718" s="713"/>
      <c r="K718" s="558"/>
      <c r="L718" s="558"/>
      <c r="M718" s="558"/>
      <c r="N718" s="558"/>
      <c r="O718" s="714"/>
    </row>
    <row r="719" spans="1:16" ht="15">
      <c r="C719" s="716" t="s">
        <v>273</v>
      </c>
      <c r="D719" s="1221">
        <v>653739.25</v>
      </c>
      <c r="E719" s="673" t="s">
        <v>274</v>
      </c>
      <c r="G719" s="717"/>
      <c r="H719" s="717"/>
      <c r="I719" s="718">
        <f>I630</f>
        <v>2025</v>
      </c>
      <c r="J719" s="604"/>
      <c r="K719" s="1600" t="s">
        <v>460</v>
      </c>
      <c r="L719" s="1600"/>
      <c r="M719" s="1600"/>
      <c r="N719" s="1600"/>
      <c r="O719" s="1600"/>
    </row>
    <row r="720" spans="1:16">
      <c r="C720" s="716" t="s">
        <v>276</v>
      </c>
      <c r="D720" s="864">
        <v>2019</v>
      </c>
      <c r="E720" s="716" t="s">
        <v>277</v>
      </c>
      <c r="F720" s="717"/>
      <c r="H720" s="345"/>
      <c r="I720" s="867">
        <f>IF(G713="",0,$F$15)</f>
        <v>0</v>
      </c>
      <c r="J720" s="719"/>
      <c r="K720" s="1211" t="s">
        <v>460</v>
      </c>
    </row>
    <row r="721" spans="1:15">
      <c r="C721" s="716" t="s">
        <v>278</v>
      </c>
      <c r="D721" s="1221">
        <v>6</v>
      </c>
      <c r="E721" s="716" t="s">
        <v>279</v>
      </c>
      <c r="F721" s="717"/>
      <c r="H721" s="345"/>
      <c r="I721" s="720">
        <f>$G$70</f>
        <v>0.11808937687765908</v>
      </c>
      <c r="J721" s="721"/>
      <c r="K721" s="345" t="str">
        <f>"          INPUT PROJECTED ARR (WITH &amp; WITHOUT INCENTIVES) FROM EACH PRIOR YEAR"</f>
        <v xml:space="preserve">          INPUT PROJECTED ARR (WITH &amp; WITHOUT INCENTIVES) FROM EACH PRIOR YEAR</v>
      </c>
    </row>
    <row r="722" spans="1:15">
      <c r="C722" s="716" t="s">
        <v>280</v>
      </c>
      <c r="D722" s="722">
        <f>G$79</f>
        <v>38</v>
      </c>
      <c r="E722" s="716" t="s">
        <v>281</v>
      </c>
      <c r="F722" s="717"/>
      <c r="H722" s="345"/>
      <c r="I722" s="720">
        <f>IF(G713="",I721,$G$67)</f>
        <v>0.11808937687765908</v>
      </c>
      <c r="J722" s="723"/>
      <c r="K722" s="345" t="s">
        <v>358</v>
      </c>
    </row>
    <row r="723" spans="1:15" ht="13.5" thickBot="1">
      <c r="C723" s="716" t="s">
        <v>282</v>
      </c>
      <c r="D723" s="866" t="s">
        <v>925</v>
      </c>
      <c r="E723" s="724" t="s">
        <v>283</v>
      </c>
      <c r="F723" s="725"/>
      <c r="G723" s="726"/>
      <c r="H723" s="726"/>
      <c r="I723" s="1220">
        <f>IF(D719=0,0,D719/D722)</f>
        <v>17203.66447368421</v>
      </c>
      <c r="J723" s="1211"/>
      <c r="K723" s="1211" t="s">
        <v>364</v>
      </c>
      <c r="L723" s="1211"/>
      <c r="M723" s="1211"/>
      <c r="N723" s="1211"/>
      <c r="O723" s="606"/>
    </row>
    <row r="724" spans="1:15" ht="51">
      <c r="A724" s="545"/>
      <c r="B724" s="1222"/>
      <c r="C724" s="727" t="s">
        <v>273</v>
      </c>
      <c r="D724" s="1223" t="s">
        <v>284</v>
      </c>
      <c r="E724" s="1224" t="s">
        <v>285</v>
      </c>
      <c r="F724" s="1223" t="s">
        <v>286</v>
      </c>
      <c r="G724" s="1224" t="s">
        <v>357</v>
      </c>
      <c r="H724" s="1225" t="s">
        <v>357</v>
      </c>
      <c r="I724" s="727" t="s">
        <v>296</v>
      </c>
      <c r="J724" s="731"/>
      <c r="K724" s="1224" t="s">
        <v>366</v>
      </c>
      <c r="L724" s="1226"/>
      <c r="M724" s="1224" t="s">
        <v>366</v>
      </c>
      <c r="N724" s="1226"/>
      <c r="O724" s="1226"/>
    </row>
    <row r="725" spans="1:15" ht="13.5" thickBot="1">
      <c r="C725" s="733" t="s">
        <v>178</v>
      </c>
      <c r="D725" s="734" t="s">
        <v>179</v>
      </c>
      <c r="E725" s="733" t="s">
        <v>38</v>
      </c>
      <c r="F725" s="734" t="s">
        <v>179</v>
      </c>
      <c r="G725" s="1227" t="s">
        <v>299</v>
      </c>
      <c r="H725" s="1228" t="s">
        <v>301</v>
      </c>
      <c r="I725" s="737" t="s">
        <v>390</v>
      </c>
      <c r="J725" s="738"/>
      <c r="K725" s="1227" t="s">
        <v>288</v>
      </c>
      <c r="L725" s="1229"/>
      <c r="M725" s="1227" t="s">
        <v>301</v>
      </c>
      <c r="N725" s="1229"/>
      <c r="O725" s="1229"/>
    </row>
    <row r="726" spans="1:15">
      <c r="C726" s="739">
        <f>IF(D720= "","-",D720)</f>
        <v>2019</v>
      </c>
      <c r="D726" s="691">
        <f>+D719</f>
        <v>653739.25</v>
      </c>
      <c r="E726" s="1230">
        <f>+I723/12*(12-D721)</f>
        <v>8601.832236842105</v>
      </c>
      <c r="F726" s="691">
        <f>+D726-E726</f>
        <v>645137.41776315786</v>
      </c>
      <c r="G726" s="1231">
        <f>+$I$721*((D726+F726)/2)+E726</f>
        <v>85293.600405382866</v>
      </c>
      <c r="H726" s="1232">
        <f>+$I$722*((D726+F726)/2)+E726</f>
        <v>85293.600405382866</v>
      </c>
      <c r="I726" s="743">
        <f>+H726-G726</f>
        <v>0</v>
      </c>
      <c r="J726" s="743"/>
      <c r="K726" s="869">
        <v>67813.107115754596</v>
      </c>
      <c r="L726" s="745"/>
      <c r="M726" s="869">
        <v>67813.107115754596</v>
      </c>
      <c r="N726" s="745"/>
      <c r="O726" s="745"/>
    </row>
    <row r="727" spans="1:15">
      <c r="C727" s="739">
        <f>IF(D720="","-",+C726+1)</f>
        <v>2020</v>
      </c>
      <c r="D727" s="691">
        <f t="shared" ref="D727:D785" si="42">F726</f>
        <v>645137.41776315786</v>
      </c>
      <c r="E727" s="746">
        <f>IF(D727&gt;$I$723,$I$723,D727)</f>
        <v>17203.66447368421</v>
      </c>
      <c r="F727" s="691">
        <f>+D727-E727</f>
        <v>627933.75328947371</v>
      </c>
      <c r="G727" s="1230">
        <f>+$I$721*((D727+F727)/2)+E727</f>
        <v>92371.755128942707</v>
      </c>
      <c r="H727" s="1233">
        <f>+$I$722*((D727+F727)/2)+E727</f>
        <v>92371.755128942707</v>
      </c>
      <c r="I727" s="743">
        <f t="shared" ref="I727:I785" si="43">+H727-G727</f>
        <v>0</v>
      </c>
      <c r="J727" s="743"/>
      <c r="K727" s="869">
        <v>66522.420324549836</v>
      </c>
      <c r="L727" s="749"/>
      <c r="M727" s="869">
        <v>66522.420324549836</v>
      </c>
      <c r="N727" s="749"/>
      <c r="O727" s="749"/>
    </row>
    <row r="728" spans="1:15">
      <c r="C728" s="1247">
        <f>IF(D720="","-",+C727+1)</f>
        <v>2021</v>
      </c>
      <c r="D728" s="1235">
        <f t="shared" si="42"/>
        <v>627933.75328947371</v>
      </c>
      <c r="E728" s="746">
        <f t="shared" ref="E728:E785" si="44">IF(D728&gt;$I$723,$I$723,D728)</f>
        <v>17203.66447368421</v>
      </c>
      <c r="F728" s="691">
        <f t="shared" ref="F728:F785" si="45">+D728-E728</f>
        <v>610730.08881578955</v>
      </c>
      <c r="G728" s="1230">
        <f t="shared" ref="G728:G785" si="46">+$I$721*((D728+F728)/2)+E728</f>
        <v>90340.185111233033</v>
      </c>
      <c r="H728" s="1233">
        <f t="shared" ref="H728:H785" si="47">+$I$722*((D728+F728)/2)+E728</f>
        <v>90340.185111233033</v>
      </c>
      <c r="I728" s="1239">
        <f t="shared" si="43"/>
        <v>0</v>
      </c>
      <c r="J728" s="743"/>
      <c r="K728" s="869">
        <v>77581.849471761481</v>
      </c>
      <c r="L728" s="749"/>
      <c r="M728" s="869">
        <v>77581.849471761481</v>
      </c>
      <c r="N728" s="749"/>
      <c r="O728" s="749"/>
    </row>
    <row r="729" spans="1:15">
      <c r="C729" s="739">
        <f>IF(D720="","-",+C728+1)</f>
        <v>2022</v>
      </c>
      <c r="D729" s="691">
        <f t="shared" si="42"/>
        <v>610730.08881578955</v>
      </c>
      <c r="E729" s="746">
        <f t="shared" si="44"/>
        <v>17203.66447368421</v>
      </c>
      <c r="F729" s="691">
        <f t="shared" si="45"/>
        <v>593526.4243421054</v>
      </c>
      <c r="G729" s="1230">
        <f t="shared" si="46"/>
        <v>88308.615093523345</v>
      </c>
      <c r="H729" s="1233">
        <f t="shared" si="47"/>
        <v>88308.615093523345</v>
      </c>
      <c r="I729" s="743">
        <f t="shared" si="43"/>
        <v>0</v>
      </c>
      <c r="J729" s="743"/>
      <c r="K729" s="869">
        <v>79218.664925898935</v>
      </c>
      <c r="L729" s="749"/>
      <c r="M729" s="869">
        <v>79218.664925898935</v>
      </c>
      <c r="N729" s="749"/>
      <c r="O729" s="749"/>
    </row>
    <row r="730" spans="1:15">
      <c r="C730" s="739">
        <f>IF(D720="","-",+C729+1)</f>
        <v>2023</v>
      </c>
      <c r="D730" s="691">
        <f t="shared" si="42"/>
        <v>593526.4243421054</v>
      </c>
      <c r="E730" s="746">
        <f t="shared" si="44"/>
        <v>17203.66447368421</v>
      </c>
      <c r="F730" s="691">
        <f t="shared" si="45"/>
        <v>576322.75986842124</v>
      </c>
      <c r="G730" s="1230">
        <f t="shared" si="46"/>
        <v>86277.045075813672</v>
      </c>
      <c r="H730" s="1233">
        <f t="shared" si="47"/>
        <v>86277.045075813672</v>
      </c>
      <c r="I730" s="743">
        <f t="shared" si="43"/>
        <v>0</v>
      </c>
      <c r="J730" s="743"/>
      <c r="K730" s="869">
        <v>84539.280785517272</v>
      </c>
      <c r="L730" s="749"/>
      <c r="M730" s="869">
        <v>84539.280785517272</v>
      </c>
      <c r="N730" s="749"/>
      <c r="O730" s="749"/>
    </row>
    <row r="731" spans="1:15">
      <c r="C731" s="739">
        <f>IF(D720="","-",+C730+1)</f>
        <v>2024</v>
      </c>
      <c r="D731" s="691">
        <f t="shared" si="42"/>
        <v>576322.75986842124</v>
      </c>
      <c r="E731" s="746">
        <f t="shared" si="44"/>
        <v>17203.66447368421</v>
      </c>
      <c r="F731" s="691">
        <f t="shared" si="45"/>
        <v>559119.09539473709</v>
      </c>
      <c r="G731" s="1230">
        <f t="shared" si="46"/>
        <v>84245.47505810397</v>
      </c>
      <c r="H731" s="1233">
        <f t="shared" si="47"/>
        <v>84245.47505810397</v>
      </c>
      <c r="I731" s="743">
        <f t="shared" si="43"/>
        <v>0</v>
      </c>
      <c r="J731" s="743"/>
      <c r="K731" s="869">
        <v>85586.21458154358</v>
      </c>
      <c r="L731" s="749"/>
      <c r="M731" s="869">
        <v>85586.21458154358</v>
      </c>
      <c r="N731" s="749"/>
      <c r="O731" s="749"/>
    </row>
    <row r="732" spans="1:15">
      <c r="C732" s="739">
        <f>IF(D720="","-",+C731+1)</f>
        <v>2025</v>
      </c>
      <c r="D732" s="691">
        <f t="shared" si="42"/>
        <v>559119.09539473709</v>
      </c>
      <c r="E732" s="746">
        <f t="shared" si="44"/>
        <v>17203.66447368421</v>
      </c>
      <c r="F732" s="691">
        <f t="shared" si="45"/>
        <v>541915.43092105293</v>
      </c>
      <c r="G732" s="1230">
        <f t="shared" si="46"/>
        <v>82213.905040394297</v>
      </c>
      <c r="H732" s="1233">
        <f t="shared" si="47"/>
        <v>82213.905040394297</v>
      </c>
      <c r="I732" s="743">
        <f t="shared" si="43"/>
        <v>0</v>
      </c>
      <c r="J732" s="743"/>
      <c r="K732" s="869"/>
      <c r="L732" s="749"/>
      <c r="M732" s="869"/>
      <c r="N732" s="749"/>
      <c r="O732" s="749"/>
    </row>
    <row r="733" spans="1:15">
      <c r="C733" s="739">
        <f>IF(D720="","-",+C732+1)</f>
        <v>2026</v>
      </c>
      <c r="D733" s="691">
        <f t="shared" si="42"/>
        <v>541915.43092105293</v>
      </c>
      <c r="E733" s="746">
        <f t="shared" si="44"/>
        <v>17203.66447368421</v>
      </c>
      <c r="F733" s="691">
        <f t="shared" si="45"/>
        <v>524711.76644736878</v>
      </c>
      <c r="G733" s="1230">
        <f t="shared" si="46"/>
        <v>80182.335022684609</v>
      </c>
      <c r="H733" s="1233">
        <f t="shared" si="47"/>
        <v>80182.335022684609</v>
      </c>
      <c r="I733" s="743">
        <f t="shared" si="43"/>
        <v>0</v>
      </c>
      <c r="J733" s="743"/>
      <c r="K733" s="869"/>
      <c r="L733" s="749"/>
      <c r="M733" s="869"/>
      <c r="N733" s="749"/>
      <c r="O733" s="749"/>
    </row>
    <row r="734" spans="1:15">
      <c r="C734" s="739">
        <f>IF(D720="","-",+C733+1)</f>
        <v>2027</v>
      </c>
      <c r="D734" s="691">
        <f t="shared" si="42"/>
        <v>524711.76644736878</v>
      </c>
      <c r="E734" s="746">
        <f t="shared" si="44"/>
        <v>17203.66447368421</v>
      </c>
      <c r="F734" s="691">
        <f t="shared" si="45"/>
        <v>507508.10197368456</v>
      </c>
      <c r="G734" s="1230">
        <f t="shared" si="46"/>
        <v>78150.765004974921</v>
      </c>
      <c r="H734" s="1233">
        <f t="shared" si="47"/>
        <v>78150.765004974921</v>
      </c>
      <c r="I734" s="743">
        <f t="shared" si="43"/>
        <v>0</v>
      </c>
      <c r="J734" s="743"/>
      <c r="K734" s="869"/>
      <c r="L734" s="749"/>
      <c r="M734" s="869"/>
      <c r="N734" s="749"/>
      <c r="O734" s="749"/>
    </row>
    <row r="735" spans="1:15">
      <c r="C735" s="739">
        <f>IF(D720="","-",+C734+1)</f>
        <v>2028</v>
      </c>
      <c r="D735" s="691">
        <f t="shared" si="42"/>
        <v>507508.10197368456</v>
      </c>
      <c r="E735" s="746">
        <f t="shared" si="44"/>
        <v>17203.66447368421</v>
      </c>
      <c r="F735" s="691">
        <f t="shared" si="45"/>
        <v>490304.43750000035</v>
      </c>
      <c r="G735" s="1230">
        <f t="shared" si="46"/>
        <v>76119.194987265248</v>
      </c>
      <c r="H735" s="1233">
        <f t="shared" si="47"/>
        <v>76119.194987265248</v>
      </c>
      <c r="I735" s="743">
        <f t="shared" si="43"/>
        <v>0</v>
      </c>
      <c r="J735" s="743"/>
      <c r="K735" s="869"/>
      <c r="L735" s="749"/>
      <c r="M735" s="869"/>
      <c r="N735" s="749"/>
      <c r="O735" s="749"/>
    </row>
    <row r="736" spans="1:15">
      <c r="C736" s="739">
        <f>IF(D720="","-",+C735+1)</f>
        <v>2029</v>
      </c>
      <c r="D736" s="691">
        <f t="shared" si="42"/>
        <v>490304.43750000035</v>
      </c>
      <c r="E736" s="746">
        <f t="shared" si="44"/>
        <v>17203.66447368421</v>
      </c>
      <c r="F736" s="691">
        <f t="shared" si="45"/>
        <v>473100.77302631614</v>
      </c>
      <c r="G736" s="1230">
        <f t="shared" si="46"/>
        <v>74087.624969555545</v>
      </c>
      <c r="H736" s="1233">
        <f t="shared" si="47"/>
        <v>74087.624969555545</v>
      </c>
      <c r="I736" s="743">
        <f t="shared" si="43"/>
        <v>0</v>
      </c>
      <c r="J736" s="743"/>
      <c r="K736" s="869"/>
      <c r="L736" s="749"/>
      <c r="M736" s="869"/>
      <c r="N736" s="749"/>
      <c r="O736" s="749"/>
    </row>
    <row r="737" spans="3:15">
      <c r="C737" s="739">
        <f>IF(D720="","-",+C736+1)</f>
        <v>2030</v>
      </c>
      <c r="D737" s="691">
        <f t="shared" si="42"/>
        <v>473100.77302631614</v>
      </c>
      <c r="E737" s="746">
        <f t="shared" si="44"/>
        <v>17203.66447368421</v>
      </c>
      <c r="F737" s="691">
        <f t="shared" si="45"/>
        <v>455897.10855263192</v>
      </c>
      <c r="G737" s="1230">
        <f t="shared" si="46"/>
        <v>72056.054951845857</v>
      </c>
      <c r="H737" s="1233">
        <f t="shared" si="47"/>
        <v>72056.054951845857</v>
      </c>
      <c r="I737" s="743">
        <f t="shared" si="43"/>
        <v>0</v>
      </c>
      <c r="J737" s="743"/>
      <c r="K737" s="869"/>
      <c r="L737" s="749"/>
      <c r="M737" s="869"/>
      <c r="N737" s="749"/>
      <c r="O737" s="749"/>
    </row>
    <row r="738" spans="3:15">
      <c r="C738" s="739">
        <f>IF(D720="","-",+C737+1)</f>
        <v>2031</v>
      </c>
      <c r="D738" s="691">
        <f t="shared" si="42"/>
        <v>455897.10855263192</v>
      </c>
      <c r="E738" s="746">
        <f t="shared" si="44"/>
        <v>17203.66447368421</v>
      </c>
      <c r="F738" s="691">
        <f t="shared" si="45"/>
        <v>438693.44407894771</v>
      </c>
      <c r="G738" s="1230">
        <f t="shared" si="46"/>
        <v>70024.48493413617</v>
      </c>
      <c r="H738" s="1233">
        <f t="shared" si="47"/>
        <v>70024.48493413617</v>
      </c>
      <c r="I738" s="743">
        <f t="shared" si="43"/>
        <v>0</v>
      </c>
      <c r="J738" s="743"/>
      <c r="K738" s="869"/>
      <c r="L738" s="749"/>
      <c r="M738" s="869"/>
      <c r="N738" s="749"/>
      <c r="O738" s="749"/>
    </row>
    <row r="739" spans="3:15">
      <c r="C739" s="739">
        <f>IF(D720="","-",+C738+1)</f>
        <v>2032</v>
      </c>
      <c r="D739" s="691">
        <f t="shared" si="42"/>
        <v>438693.44407894771</v>
      </c>
      <c r="E739" s="746">
        <f t="shared" si="44"/>
        <v>17203.66447368421</v>
      </c>
      <c r="F739" s="691">
        <f t="shared" si="45"/>
        <v>421489.77960526349</v>
      </c>
      <c r="G739" s="1230">
        <f t="shared" si="46"/>
        <v>67992.914916426482</v>
      </c>
      <c r="H739" s="1233">
        <f t="shared" si="47"/>
        <v>67992.914916426482</v>
      </c>
      <c r="I739" s="743">
        <f t="shared" si="43"/>
        <v>0</v>
      </c>
      <c r="J739" s="743"/>
      <c r="K739" s="869"/>
      <c r="L739" s="749"/>
      <c r="M739" s="869"/>
      <c r="N739" s="749"/>
      <c r="O739" s="749"/>
    </row>
    <row r="740" spans="3:15">
      <c r="C740" s="739">
        <f>IF(D720="","-",+C739+1)</f>
        <v>2033</v>
      </c>
      <c r="D740" s="691">
        <f t="shared" si="42"/>
        <v>421489.77960526349</v>
      </c>
      <c r="E740" s="746">
        <f t="shared" si="44"/>
        <v>17203.66447368421</v>
      </c>
      <c r="F740" s="691">
        <f t="shared" si="45"/>
        <v>404286.11513157928</v>
      </c>
      <c r="G740" s="1230">
        <f t="shared" si="46"/>
        <v>65961.344898716779</v>
      </c>
      <c r="H740" s="1233">
        <f t="shared" si="47"/>
        <v>65961.344898716779</v>
      </c>
      <c r="I740" s="743">
        <f t="shared" si="43"/>
        <v>0</v>
      </c>
      <c r="J740" s="743"/>
      <c r="K740" s="869"/>
      <c r="L740" s="749"/>
      <c r="M740" s="869"/>
      <c r="N740" s="749"/>
      <c r="O740" s="749"/>
    </row>
    <row r="741" spans="3:15">
      <c r="C741" s="739">
        <f>IF(D720="","-",+C740+1)</f>
        <v>2034</v>
      </c>
      <c r="D741" s="691">
        <f t="shared" si="42"/>
        <v>404286.11513157928</v>
      </c>
      <c r="E741" s="746">
        <f t="shared" si="44"/>
        <v>17203.66447368421</v>
      </c>
      <c r="F741" s="691">
        <f t="shared" si="45"/>
        <v>387082.45065789507</v>
      </c>
      <c r="G741" s="1230">
        <f t="shared" si="46"/>
        <v>63929.774881007106</v>
      </c>
      <c r="H741" s="1233">
        <f t="shared" si="47"/>
        <v>63929.774881007106</v>
      </c>
      <c r="I741" s="743">
        <f t="shared" si="43"/>
        <v>0</v>
      </c>
      <c r="J741" s="743"/>
      <c r="K741" s="869"/>
      <c r="L741" s="749"/>
      <c r="M741" s="869"/>
      <c r="N741" s="749"/>
      <c r="O741" s="749"/>
    </row>
    <row r="742" spans="3:15">
      <c r="C742" s="739">
        <f>IF(D720="","-",+C741+1)</f>
        <v>2035</v>
      </c>
      <c r="D742" s="691">
        <f t="shared" si="42"/>
        <v>387082.45065789507</v>
      </c>
      <c r="E742" s="746">
        <f t="shared" si="44"/>
        <v>17203.66447368421</v>
      </c>
      <c r="F742" s="691">
        <f t="shared" si="45"/>
        <v>369878.78618421085</v>
      </c>
      <c r="G742" s="1230">
        <f t="shared" si="46"/>
        <v>61898.204863297404</v>
      </c>
      <c r="H742" s="1233">
        <f t="shared" si="47"/>
        <v>61898.204863297404</v>
      </c>
      <c r="I742" s="743">
        <f t="shared" si="43"/>
        <v>0</v>
      </c>
      <c r="J742" s="743"/>
      <c r="K742" s="869"/>
      <c r="L742" s="749"/>
      <c r="M742" s="869"/>
      <c r="N742" s="749"/>
      <c r="O742" s="749"/>
    </row>
    <row r="743" spans="3:15">
      <c r="C743" s="739">
        <f>IF(D720="","-",+C742+1)</f>
        <v>2036</v>
      </c>
      <c r="D743" s="691">
        <f t="shared" si="42"/>
        <v>369878.78618421085</v>
      </c>
      <c r="E743" s="746">
        <f t="shared" si="44"/>
        <v>17203.66447368421</v>
      </c>
      <c r="F743" s="691">
        <f t="shared" si="45"/>
        <v>352675.12171052664</v>
      </c>
      <c r="G743" s="1230">
        <f t="shared" si="46"/>
        <v>59866.634845587731</v>
      </c>
      <c r="H743" s="1233">
        <f t="shared" si="47"/>
        <v>59866.634845587731</v>
      </c>
      <c r="I743" s="743">
        <f t="shared" si="43"/>
        <v>0</v>
      </c>
      <c r="J743" s="743"/>
      <c r="K743" s="869"/>
      <c r="L743" s="749"/>
      <c r="M743" s="869"/>
      <c r="N743" s="749"/>
      <c r="O743" s="749"/>
    </row>
    <row r="744" spans="3:15">
      <c r="C744" s="739">
        <f>IF(D720="","-",+C743+1)</f>
        <v>2037</v>
      </c>
      <c r="D744" s="691">
        <f t="shared" si="42"/>
        <v>352675.12171052664</v>
      </c>
      <c r="E744" s="746">
        <f t="shared" si="44"/>
        <v>17203.66447368421</v>
      </c>
      <c r="F744" s="691">
        <f t="shared" si="45"/>
        <v>335471.45723684243</v>
      </c>
      <c r="G744" s="1230">
        <f t="shared" si="46"/>
        <v>57835.064827878028</v>
      </c>
      <c r="H744" s="1233">
        <f t="shared" si="47"/>
        <v>57835.064827878028</v>
      </c>
      <c r="I744" s="743">
        <f t="shared" si="43"/>
        <v>0</v>
      </c>
      <c r="J744" s="743"/>
      <c r="K744" s="869"/>
      <c r="L744" s="749"/>
      <c r="M744" s="869"/>
      <c r="N744" s="749"/>
      <c r="O744" s="749"/>
    </row>
    <row r="745" spans="3:15">
      <c r="C745" s="739">
        <f>IF(D720="","-",+C744+1)</f>
        <v>2038</v>
      </c>
      <c r="D745" s="691">
        <f t="shared" si="42"/>
        <v>335471.45723684243</v>
      </c>
      <c r="E745" s="746">
        <f t="shared" si="44"/>
        <v>17203.66447368421</v>
      </c>
      <c r="F745" s="691">
        <f t="shared" si="45"/>
        <v>318267.79276315821</v>
      </c>
      <c r="G745" s="1230">
        <f t="shared" si="46"/>
        <v>55803.49481016834</v>
      </c>
      <c r="H745" s="1233">
        <f t="shared" si="47"/>
        <v>55803.49481016834</v>
      </c>
      <c r="I745" s="743">
        <f t="shared" si="43"/>
        <v>0</v>
      </c>
      <c r="J745" s="743"/>
      <c r="K745" s="869"/>
      <c r="L745" s="749"/>
      <c r="M745" s="869"/>
      <c r="N745" s="749"/>
      <c r="O745" s="749"/>
    </row>
    <row r="746" spans="3:15">
      <c r="C746" s="739">
        <f>IF(D720="","-",+C745+1)</f>
        <v>2039</v>
      </c>
      <c r="D746" s="691">
        <f t="shared" si="42"/>
        <v>318267.79276315821</v>
      </c>
      <c r="E746" s="746">
        <f t="shared" si="44"/>
        <v>17203.66447368421</v>
      </c>
      <c r="F746" s="691">
        <f t="shared" si="45"/>
        <v>301064.128289474</v>
      </c>
      <c r="G746" s="1230">
        <f t="shared" si="46"/>
        <v>53771.924792458653</v>
      </c>
      <c r="H746" s="1233">
        <f t="shared" si="47"/>
        <v>53771.924792458653</v>
      </c>
      <c r="I746" s="743">
        <f t="shared" si="43"/>
        <v>0</v>
      </c>
      <c r="J746" s="743"/>
      <c r="K746" s="869"/>
      <c r="L746" s="749"/>
      <c r="M746" s="869"/>
      <c r="N746" s="749"/>
      <c r="O746" s="749"/>
    </row>
    <row r="747" spans="3:15">
      <c r="C747" s="739">
        <f>IF(D720="","-",+C746+1)</f>
        <v>2040</v>
      </c>
      <c r="D747" s="691">
        <f t="shared" si="42"/>
        <v>301064.128289474</v>
      </c>
      <c r="E747" s="746">
        <f t="shared" si="44"/>
        <v>17203.66447368421</v>
      </c>
      <c r="F747" s="691">
        <f t="shared" si="45"/>
        <v>283860.46381578979</v>
      </c>
      <c r="G747" s="1230">
        <f t="shared" si="46"/>
        <v>51740.354774748965</v>
      </c>
      <c r="H747" s="1233">
        <f t="shared" si="47"/>
        <v>51740.354774748965</v>
      </c>
      <c r="I747" s="743">
        <f t="shared" si="43"/>
        <v>0</v>
      </c>
      <c r="J747" s="743"/>
      <c r="K747" s="869"/>
      <c r="L747" s="749"/>
      <c r="M747" s="869"/>
      <c r="N747" s="749"/>
      <c r="O747" s="749"/>
    </row>
    <row r="748" spans="3:15">
      <c r="C748" s="739">
        <f>IF(D720="","-",+C747+1)</f>
        <v>2041</v>
      </c>
      <c r="D748" s="691">
        <f t="shared" si="42"/>
        <v>283860.46381578979</v>
      </c>
      <c r="E748" s="746">
        <f t="shared" si="44"/>
        <v>17203.66447368421</v>
      </c>
      <c r="F748" s="691">
        <f t="shared" si="45"/>
        <v>266656.79934210557</v>
      </c>
      <c r="G748" s="1230">
        <f t="shared" si="46"/>
        <v>49708.78475703927</v>
      </c>
      <c r="H748" s="1233">
        <f t="shared" si="47"/>
        <v>49708.78475703927</v>
      </c>
      <c r="I748" s="743">
        <f t="shared" si="43"/>
        <v>0</v>
      </c>
      <c r="J748" s="743"/>
      <c r="K748" s="869"/>
      <c r="L748" s="749"/>
      <c r="M748" s="869"/>
      <c r="N748" s="749"/>
      <c r="O748" s="749"/>
    </row>
    <row r="749" spans="3:15">
      <c r="C749" s="739">
        <f>IF(D720="","-",+C748+1)</f>
        <v>2042</v>
      </c>
      <c r="D749" s="691">
        <f t="shared" si="42"/>
        <v>266656.79934210557</v>
      </c>
      <c r="E749" s="746">
        <f t="shared" si="44"/>
        <v>17203.66447368421</v>
      </c>
      <c r="F749" s="691">
        <f t="shared" si="45"/>
        <v>249453.13486842136</v>
      </c>
      <c r="G749" s="1230">
        <f t="shared" si="46"/>
        <v>47677.214739329589</v>
      </c>
      <c r="H749" s="1233">
        <f t="shared" si="47"/>
        <v>47677.214739329589</v>
      </c>
      <c r="I749" s="743">
        <f t="shared" si="43"/>
        <v>0</v>
      </c>
      <c r="J749" s="743"/>
      <c r="K749" s="869"/>
      <c r="L749" s="749"/>
      <c r="M749" s="869"/>
      <c r="N749" s="749"/>
      <c r="O749" s="749"/>
    </row>
    <row r="750" spans="3:15">
      <c r="C750" s="739">
        <f>IF(D720="","-",+C749+1)</f>
        <v>2043</v>
      </c>
      <c r="D750" s="691">
        <f t="shared" si="42"/>
        <v>249453.13486842136</v>
      </c>
      <c r="E750" s="746">
        <f t="shared" si="44"/>
        <v>17203.66447368421</v>
      </c>
      <c r="F750" s="691">
        <f t="shared" si="45"/>
        <v>232249.47039473715</v>
      </c>
      <c r="G750" s="1230">
        <f t="shared" si="46"/>
        <v>45645.644721619894</v>
      </c>
      <c r="H750" s="1233">
        <f t="shared" si="47"/>
        <v>45645.644721619894</v>
      </c>
      <c r="I750" s="743">
        <f t="shared" si="43"/>
        <v>0</v>
      </c>
      <c r="J750" s="743"/>
      <c r="K750" s="869"/>
      <c r="L750" s="749"/>
      <c r="M750" s="869"/>
      <c r="N750" s="749"/>
      <c r="O750" s="749"/>
    </row>
    <row r="751" spans="3:15">
      <c r="C751" s="739">
        <f>IF(D720="","-",+C750+1)</f>
        <v>2044</v>
      </c>
      <c r="D751" s="691">
        <f t="shared" si="42"/>
        <v>232249.47039473715</v>
      </c>
      <c r="E751" s="746">
        <f t="shared" si="44"/>
        <v>17203.66447368421</v>
      </c>
      <c r="F751" s="691">
        <f t="shared" si="45"/>
        <v>215045.80592105293</v>
      </c>
      <c r="G751" s="1230">
        <f t="shared" si="46"/>
        <v>43614.074703910206</v>
      </c>
      <c r="H751" s="1233">
        <f t="shared" si="47"/>
        <v>43614.074703910206</v>
      </c>
      <c r="I751" s="743">
        <f t="shared" si="43"/>
        <v>0</v>
      </c>
      <c r="J751" s="743"/>
      <c r="K751" s="869"/>
      <c r="L751" s="749"/>
      <c r="M751" s="869"/>
      <c r="N751" s="749"/>
      <c r="O751" s="749"/>
    </row>
    <row r="752" spans="3:15">
      <c r="C752" s="739">
        <f>IF(D720="","-",+C751+1)</f>
        <v>2045</v>
      </c>
      <c r="D752" s="691">
        <f t="shared" si="42"/>
        <v>215045.80592105293</v>
      </c>
      <c r="E752" s="746">
        <f t="shared" si="44"/>
        <v>17203.66447368421</v>
      </c>
      <c r="F752" s="691">
        <f t="shared" si="45"/>
        <v>197842.14144736872</v>
      </c>
      <c r="G752" s="1230">
        <f t="shared" si="46"/>
        <v>41582.504686200511</v>
      </c>
      <c r="H752" s="1233">
        <f t="shared" si="47"/>
        <v>41582.504686200511</v>
      </c>
      <c r="I752" s="743">
        <f t="shared" si="43"/>
        <v>0</v>
      </c>
      <c r="J752" s="743"/>
      <c r="K752" s="869"/>
      <c r="L752" s="749"/>
      <c r="M752" s="869"/>
      <c r="N752" s="749"/>
      <c r="O752" s="749"/>
    </row>
    <row r="753" spans="3:15">
      <c r="C753" s="739">
        <f>IF(D720="","-",+C752+1)</f>
        <v>2046</v>
      </c>
      <c r="D753" s="691">
        <f t="shared" si="42"/>
        <v>197842.14144736872</v>
      </c>
      <c r="E753" s="746">
        <f t="shared" si="44"/>
        <v>17203.66447368421</v>
      </c>
      <c r="F753" s="691">
        <f t="shared" si="45"/>
        <v>180638.4769736845</v>
      </c>
      <c r="G753" s="1230">
        <f t="shared" si="46"/>
        <v>39550.934668490823</v>
      </c>
      <c r="H753" s="1233">
        <f t="shared" si="47"/>
        <v>39550.934668490823</v>
      </c>
      <c r="I753" s="743">
        <f t="shared" si="43"/>
        <v>0</v>
      </c>
      <c r="J753" s="743"/>
      <c r="K753" s="869"/>
      <c r="L753" s="749"/>
      <c r="M753" s="869"/>
      <c r="N753" s="749"/>
      <c r="O753" s="749"/>
    </row>
    <row r="754" spans="3:15">
      <c r="C754" s="739">
        <f>IF(D720="","-",+C753+1)</f>
        <v>2047</v>
      </c>
      <c r="D754" s="691">
        <f t="shared" si="42"/>
        <v>180638.4769736845</v>
      </c>
      <c r="E754" s="746">
        <f t="shared" si="44"/>
        <v>17203.66447368421</v>
      </c>
      <c r="F754" s="691">
        <f t="shared" si="45"/>
        <v>163434.81250000029</v>
      </c>
      <c r="G754" s="1230">
        <f t="shared" si="46"/>
        <v>37519.364650781135</v>
      </c>
      <c r="H754" s="1233">
        <f t="shared" si="47"/>
        <v>37519.364650781135</v>
      </c>
      <c r="I754" s="743">
        <f t="shared" si="43"/>
        <v>0</v>
      </c>
      <c r="J754" s="743"/>
      <c r="K754" s="869"/>
      <c r="L754" s="749"/>
      <c r="M754" s="869"/>
      <c r="N754" s="749"/>
      <c r="O754" s="749"/>
    </row>
    <row r="755" spans="3:15">
      <c r="C755" s="739">
        <f>IF(D720="","-",+C754+1)</f>
        <v>2048</v>
      </c>
      <c r="D755" s="691">
        <f t="shared" si="42"/>
        <v>163434.81250000029</v>
      </c>
      <c r="E755" s="746">
        <f t="shared" si="44"/>
        <v>17203.66447368421</v>
      </c>
      <c r="F755" s="691">
        <f t="shared" si="45"/>
        <v>146231.14802631608</v>
      </c>
      <c r="G755" s="1230">
        <f t="shared" si="46"/>
        <v>35487.794633071448</v>
      </c>
      <c r="H755" s="1233">
        <f t="shared" si="47"/>
        <v>35487.794633071448</v>
      </c>
      <c r="I755" s="743">
        <f t="shared" si="43"/>
        <v>0</v>
      </c>
      <c r="J755" s="743"/>
      <c r="K755" s="869"/>
      <c r="L755" s="749"/>
      <c r="M755" s="869"/>
      <c r="N755" s="749"/>
      <c r="O755" s="749"/>
    </row>
    <row r="756" spans="3:15">
      <c r="C756" s="739">
        <f>IF(D720="","-",+C755+1)</f>
        <v>2049</v>
      </c>
      <c r="D756" s="691">
        <f t="shared" si="42"/>
        <v>146231.14802631608</v>
      </c>
      <c r="E756" s="746">
        <f t="shared" si="44"/>
        <v>17203.66447368421</v>
      </c>
      <c r="F756" s="691">
        <f t="shared" si="45"/>
        <v>129027.48355263186</v>
      </c>
      <c r="G756" s="1230">
        <f t="shared" si="46"/>
        <v>33456.22461536176</v>
      </c>
      <c r="H756" s="1233">
        <f t="shared" si="47"/>
        <v>33456.22461536176</v>
      </c>
      <c r="I756" s="743">
        <f t="shared" si="43"/>
        <v>0</v>
      </c>
      <c r="J756" s="743"/>
      <c r="K756" s="869"/>
      <c r="L756" s="749"/>
      <c r="M756" s="869"/>
      <c r="N756" s="749"/>
      <c r="O756" s="749"/>
    </row>
    <row r="757" spans="3:15">
      <c r="C757" s="739">
        <f>IF(D720="","-",+C756+1)</f>
        <v>2050</v>
      </c>
      <c r="D757" s="691">
        <f t="shared" si="42"/>
        <v>129027.48355263186</v>
      </c>
      <c r="E757" s="746">
        <f t="shared" si="44"/>
        <v>17203.66447368421</v>
      </c>
      <c r="F757" s="691">
        <f t="shared" si="45"/>
        <v>111823.81907894765</v>
      </c>
      <c r="G757" s="1230">
        <f t="shared" si="46"/>
        <v>31424.654597652068</v>
      </c>
      <c r="H757" s="1233">
        <f t="shared" si="47"/>
        <v>31424.654597652068</v>
      </c>
      <c r="I757" s="743">
        <f t="shared" si="43"/>
        <v>0</v>
      </c>
      <c r="J757" s="743"/>
      <c r="K757" s="869"/>
      <c r="L757" s="749"/>
      <c r="M757" s="869"/>
      <c r="N757" s="749"/>
      <c r="O757" s="749"/>
    </row>
    <row r="758" spans="3:15">
      <c r="C758" s="739">
        <f>IF(D720="","-",+C757+1)</f>
        <v>2051</v>
      </c>
      <c r="D758" s="691">
        <f t="shared" si="42"/>
        <v>111823.81907894765</v>
      </c>
      <c r="E758" s="746">
        <f t="shared" si="44"/>
        <v>17203.66447368421</v>
      </c>
      <c r="F758" s="691">
        <f t="shared" si="45"/>
        <v>94620.154605263437</v>
      </c>
      <c r="G758" s="1230">
        <f t="shared" si="46"/>
        <v>29393.084579942377</v>
      </c>
      <c r="H758" s="1233">
        <f t="shared" si="47"/>
        <v>29393.084579942377</v>
      </c>
      <c r="I758" s="743">
        <f t="shared" si="43"/>
        <v>0</v>
      </c>
      <c r="J758" s="743"/>
      <c r="K758" s="869"/>
      <c r="L758" s="749"/>
      <c r="M758" s="869"/>
      <c r="N758" s="749"/>
      <c r="O758" s="749"/>
    </row>
    <row r="759" spans="3:15">
      <c r="C759" s="739">
        <f>IF(D720="","-",+C758+1)</f>
        <v>2052</v>
      </c>
      <c r="D759" s="691">
        <f t="shared" si="42"/>
        <v>94620.154605263437</v>
      </c>
      <c r="E759" s="746">
        <f t="shared" si="44"/>
        <v>17203.66447368421</v>
      </c>
      <c r="F759" s="691">
        <f t="shared" si="45"/>
        <v>77416.490131579223</v>
      </c>
      <c r="G759" s="1230">
        <f t="shared" si="46"/>
        <v>27361.514562232689</v>
      </c>
      <c r="H759" s="1233">
        <f t="shared" si="47"/>
        <v>27361.514562232689</v>
      </c>
      <c r="I759" s="743">
        <f t="shared" si="43"/>
        <v>0</v>
      </c>
      <c r="J759" s="743"/>
      <c r="K759" s="869"/>
      <c r="L759" s="749"/>
      <c r="M759" s="869"/>
      <c r="N759" s="749"/>
      <c r="O759" s="749"/>
    </row>
    <row r="760" spans="3:15">
      <c r="C760" s="739">
        <f>IF(D720="","-",+C759+1)</f>
        <v>2053</v>
      </c>
      <c r="D760" s="691">
        <f t="shared" si="42"/>
        <v>77416.490131579223</v>
      </c>
      <c r="E760" s="746">
        <f t="shared" si="44"/>
        <v>17203.66447368421</v>
      </c>
      <c r="F760" s="691">
        <f t="shared" si="45"/>
        <v>60212.825657895009</v>
      </c>
      <c r="G760" s="1230">
        <f t="shared" si="46"/>
        <v>25329.944544523001</v>
      </c>
      <c r="H760" s="1233">
        <f t="shared" si="47"/>
        <v>25329.944544523001</v>
      </c>
      <c r="I760" s="743">
        <f t="shared" si="43"/>
        <v>0</v>
      </c>
      <c r="J760" s="743"/>
      <c r="K760" s="869"/>
      <c r="L760" s="749"/>
      <c r="M760" s="869"/>
      <c r="N760" s="749"/>
      <c r="O760" s="749"/>
    </row>
    <row r="761" spans="3:15">
      <c r="C761" s="739">
        <f>IF(D720="","-",+C760+1)</f>
        <v>2054</v>
      </c>
      <c r="D761" s="691">
        <f t="shared" si="42"/>
        <v>60212.825657895009</v>
      </c>
      <c r="E761" s="746">
        <f t="shared" si="44"/>
        <v>17203.66447368421</v>
      </c>
      <c r="F761" s="691">
        <f t="shared" si="45"/>
        <v>43009.161184210796</v>
      </c>
      <c r="G761" s="1230">
        <f t="shared" si="46"/>
        <v>23298.37452681331</v>
      </c>
      <c r="H761" s="1233">
        <f t="shared" si="47"/>
        <v>23298.37452681331</v>
      </c>
      <c r="I761" s="743">
        <f t="shared" si="43"/>
        <v>0</v>
      </c>
      <c r="J761" s="743"/>
      <c r="K761" s="869"/>
      <c r="L761" s="749"/>
      <c r="M761" s="869"/>
      <c r="N761" s="749"/>
      <c r="O761" s="749"/>
    </row>
    <row r="762" spans="3:15">
      <c r="C762" s="739">
        <f>IF(D720="","-",+C761+1)</f>
        <v>2055</v>
      </c>
      <c r="D762" s="691">
        <f t="shared" si="42"/>
        <v>43009.161184210796</v>
      </c>
      <c r="E762" s="746">
        <f t="shared" si="44"/>
        <v>17203.66447368421</v>
      </c>
      <c r="F762" s="691">
        <f t="shared" si="45"/>
        <v>25805.496710526586</v>
      </c>
      <c r="G762" s="1230">
        <f t="shared" si="46"/>
        <v>21266.804509103618</v>
      </c>
      <c r="H762" s="1233">
        <f t="shared" si="47"/>
        <v>21266.804509103618</v>
      </c>
      <c r="I762" s="743">
        <f t="shared" si="43"/>
        <v>0</v>
      </c>
      <c r="J762" s="743"/>
      <c r="K762" s="869"/>
      <c r="L762" s="749"/>
      <c r="M762" s="869"/>
      <c r="N762" s="749"/>
      <c r="O762" s="749"/>
    </row>
    <row r="763" spans="3:15">
      <c r="C763" s="739">
        <f>IF(D720="","-",+C762+1)</f>
        <v>2056</v>
      </c>
      <c r="D763" s="691">
        <f t="shared" si="42"/>
        <v>25805.496710526586</v>
      </c>
      <c r="E763" s="746">
        <f t="shared" si="44"/>
        <v>17203.66447368421</v>
      </c>
      <c r="F763" s="691">
        <f t="shared" si="45"/>
        <v>8601.832236842376</v>
      </c>
      <c r="G763" s="1230">
        <f t="shared" si="46"/>
        <v>19235.234491393931</v>
      </c>
      <c r="H763" s="1233">
        <f t="shared" si="47"/>
        <v>19235.234491393931</v>
      </c>
      <c r="I763" s="743">
        <f t="shared" si="43"/>
        <v>0</v>
      </c>
      <c r="J763" s="743"/>
      <c r="K763" s="869"/>
      <c r="L763" s="749"/>
      <c r="M763" s="869"/>
      <c r="N763" s="749"/>
      <c r="O763" s="749"/>
    </row>
    <row r="764" spans="3:15">
      <c r="C764" s="739">
        <f>IF(D720="","-",+C763+1)</f>
        <v>2057</v>
      </c>
      <c r="D764" s="691">
        <f t="shared" si="42"/>
        <v>8601.832236842376</v>
      </c>
      <c r="E764" s="746">
        <f t="shared" si="44"/>
        <v>8601.832236842376</v>
      </c>
      <c r="F764" s="691">
        <f t="shared" si="45"/>
        <v>0</v>
      </c>
      <c r="G764" s="1230">
        <f t="shared" si="46"/>
        <v>9109.7247412698143</v>
      </c>
      <c r="H764" s="1233">
        <f t="shared" si="47"/>
        <v>9109.7247412698143</v>
      </c>
      <c r="I764" s="743">
        <f t="shared" si="43"/>
        <v>0</v>
      </c>
      <c r="J764" s="743"/>
      <c r="K764" s="869"/>
      <c r="L764" s="749"/>
      <c r="M764" s="869"/>
      <c r="N764" s="749"/>
      <c r="O764" s="749"/>
    </row>
    <row r="765" spans="3:15">
      <c r="C765" s="739">
        <f>IF(D720="","-",+C764+1)</f>
        <v>2058</v>
      </c>
      <c r="D765" s="691">
        <f t="shared" si="42"/>
        <v>0</v>
      </c>
      <c r="E765" s="746">
        <f t="shared" si="44"/>
        <v>0</v>
      </c>
      <c r="F765" s="691">
        <f t="shared" si="45"/>
        <v>0</v>
      </c>
      <c r="G765" s="1230">
        <f t="shared" si="46"/>
        <v>0</v>
      </c>
      <c r="H765" s="1233">
        <f t="shared" si="47"/>
        <v>0</v>
      </c>
      <c r="I765" s="743">
        <f t="shared" si="43"/>
        <v>0</v>
      </c>
      <c r="J765" s="743"/>
      <c r="K765" s="869"/>
      <c r="L765" s="749"/>
      <c r="M765" s="869"/>
      <c r="N765" s="749"/>
      <c r="O765" s="749"/>
    </row>
    <row r="766" spans="3:15">
      <c r="C766" s="739">
        <f>IF(D720="","-",+C765+1)</f>
        <v>2059</v>
      </c>
      <c r="D766" s="691">
        <f t="shared" si="42"/>
        <v>0</v>
      </c>
      <c r="E766" s="746">
        <f t="shared" si="44"/>
        <v>0</v>
      </c>
      <c r="F766" s="691">
        <f t="shared" si="45"/>
        <v>0</v>
      </c>
      <c r="G766" s="1230">
        <f t="shared" si="46"/>
        <v>0</v>
      </c>
      <c r="H766" s="1233">
        <f t="shared" si="47"/>
        <v>0</v>
      </c>
      <c r="I766" s="743">
        <f t="shared" si="43"/>
        <v>0</v>
      </c>
      <c r="J766" s="743"/>
      <c r="K766" s="869"/>
      <c r="L766" s="749"/>
      <c r="M766" s="869"/>
      <c r="N766" s="749"/>
      <c r="O766" s="749"/>
    </row>
    <row r="767" spans="3:15">
      <c r="C767" s="739">
        <f>IF(D720="","-",+C766+1)</f>
        <v>2060</v>
      </c>
      <c r="D767" s="691">
        <f t="shared" si="42"/>
        <v>0</v>
      </c>
      <c r="E767" s="746">
        <f t="shared" si="44"/>
        <v>0</v>
      </c>
      <c r="F767" s="691">
        <f t="shared" si="45"/>
        <v>0</v>
      </c>
      <c r="G767" s="1230">
        <f t="shared" si="46"/>
        <v>0</v>
      </c>
      <c r="H767" s="1233">
        <f t="shared" si="47"/>
        <v>0</v>
      </c>
      <c r="I767" s="743">
        <f t="shared" si="43"/>
        <v>0</v>
      </c>
      <c r="J767" s="743"/>
      <c r="K767" s="869"/>
      <c r="L767" s="749"/>
      <c r="M767" s="869"/>
      <c r="N767" s="749"/>
      <c r="O767" s="749"/>
    </row>
    <row r="768" spans="3:15">
      <c r="C768" s="739">
        <f>IF(D720="","-",+C767+1)</f>
        <v>2061</v>
      </c>
      <c r="D768" s="691">
        <f t="shared" si="42"/>
        <v>0</v>
      </c>
      <c r="E768" s="746">
        <f t="shared" si="44"/>
        <v>0</v>
      </c>
      <c r="F768" s="691">
        <f t="shared" si="45"/>
        <v>0</v>
      </c>
      <c r="G768" s="1230">
        <f t="shared" si="46"/>
        <v>0</v>
      </c>
      <c r="H768" s="1233">
        <f t="shared" si="47"/>
        <v>0</v>
      </c>
      <c r="I768" s="743">
        <f t="shared" si="43"/>
        <v>0</v>
      </c>
      <c r="J768" s="743"/>
      <c r="K768" s="869"/>
      <c r="L768" s="749"/>
      <c r="M768" s="869"/>
      <c r="N768" s="749"/>
      <c r="O768" s="749"/>
    </row>
    <row r="769" spans="3:15">
      <c r="C769" s="739">
        <f>IF(D720="","-",+C768+1)</f>
        <v>2062</v>
      </c>
      <c r="D769" s="691">
        <f t="shared" si="42"/>
        <v>0</v>
      </c>
      <c r="E769" s="746">
        <f t="shared" si="44"/>
        <v>0</v>
      </c>
      <c r="F769" s="691">
        <f t="shared" si="45"/>
        <v>0</v>
      </c>
      <c r="G769" s="1230">
        <f t="shared" si="46"/>
        <v>0</v>
      </c>
      <c r="H769" s="1233">
        <f t="shared" si="47"/>
        <v>0</v>
      </c>
      <c r="I769" s="743">
        <f t="shared" si="43"/>
        <v>0</v>
      </c>
      <c r="J769" s="743"/>
      <c r="K769" s="869"/>
      <c r="L769" s="749"/>
      <c r="M769" s="869"/>
      <c r="N769" s="749"/>
      <c r="O769" s="749"/>
    </row>
    <row r="770" spans="3:15">
      <c r="C770" s="739">
        <f>IF(D720="","-",+C769+1)</f>
        <v>2063</v>
      </c>
      <c r="D770" s="691">
        <f t="shared" si="42"/>
        <v>0</v>
      </c>
      <c r="E770" s="746">
        <f t="shared" si="44"/>
        <v>0</v>
      </c>
      <c r="F770" s="691">
        <f t="shared" si="45"/>
        <v>0</v>
      </c>
      <c r="G770" s="1230">
        <f t="shared" si="46"/>
        <v>0</v>
      </c>
      <c r="H770" s="1233">
        <f t="shared" si="47"/>
        <v>0</v>
      </c>
      <c r="I770" s="743">
        <f t="shared" si="43"/>
        <v>0</v>
      </c>
      <c r="J770" s="743"/>
      <c r="K770" s="869"/>
      <c r="L770" s="749"/>
      <c r="M770" s="869"/>
      <c r="N770" s="749"/>
      <c r="O770" s="749"/>
    </row>
    <row r="771" spans="3:15">
      <c r="C771" s="739">
        <f>IF(D720="","-",+C770+1)</f>
        <v>2064</v>
      </c>
      <c r="D771" s="691">
        <f t="shared" si="42"/>
        <v>0</v>
      </c>
      <c r="E771" s="746">
        <f t="shared" si="44"/>
        <v>0</v>
      </c>
      <c r="F771" s="691">
        <f t="shared" si="45"/>
        <v>0</v>
      </c>
      <c r="G771" s="1230">
        <f t="shared" si="46"/>
        <v>0</v>
      </c>
      <c r="H771" s="1233">
        <f t="shared" si="47"/>
        <v>0</v>
      </c>
      <c r="I771" s="743">
        <f t="shared" si="43"/>
        <v>0</v>
      </c>
      <c r="J771" s="743"/>
      <c r="K771" s="869"/>
      <c r="L771" s="749"/>
      <c r="M771" s="869"/>
      <c r="N771" s="749"/>
      <c r="O771" s="749"/>
    </row>
    <row r="772" spans="3:15">
      <c r="C772" s="739">
        <f>IF(D720="","-",+C771+1)</f>
        <v>2065</v>
      </c>
      <c r="D772" s="691">
        <f t="shared" si="42"/>
        <v>0</v>
      </c>
      <c r="E772" s="746">
        <f t="shared" si="44"/>
        <v>0</v>
      </c>
      <c r="F772" s="691">
        <f t="shared" si="45"/>
        <v>0</v>
      </c>
      <c r="G772" s="1230">
        <f t="shared" si="46"/>
        <v>0</v>
      </c>
      <c r="H772" s="1233">
        <f t="shared" si="47"/>
        <v>0</v>
      </c>
      <c r="I772" s="743">
        <f t="shared" si="43"/>
        <v>0</v>
      </c>
      <c r="J772" s="743"/>
      <c r="K772" s="869"/>
      <c r="L772" s="749"/>
      <c r="M772" s="869"/>
      <c r="N772" s="749"/>
      <c r="O772" s="749"/>
    </row>
    <row r="773" spans="3:15">
      <c r="C773" s="739">
        <f>IF(D720="","-",+C772+1)</f>
        <v>2066</v>
      </c>
      <c r="D773" s="691">
        <f t="shared" si="42"/>
        <v>0</v>
      </c>
      <c r="E773" s="746">
        <f t="shared" si="44"/>
        <v>0</v>
      </c>
      <c r="F773" s="691">
        <f t="shared" si="45"/>
        <v>0</v>
      </c>
      <c r="G773" s="1230">
        <f t="shared" si="46"/>
        <v>0</v>
      </c>
      <c r="H773" s="1233">
        <f t="shared" si="47"/>
        <v>0</v>
      </c>
      <c r="I773" s="743">
        <f t="shared" si="43"/>
        <v>0</v>
      </c>
      <c r="J773" s="743"/>
      <c r="K773" s="869"/>
      <c r="L773" s="749"/>
      <c r="M773" s="869"/>
      <c r="N773" s="749"/>
      <c r="O773" s="749"/>
    </row>
    <row r="774" spans="3:15">
      <c r="C774" s="739">
        <f>IF(D720="","-",+C773+1)</f>
        <v>2067</v>
      </c>
      <c r="D774" s="691">
        <f t="shared" si="42"/>
        <v>0</v>
      </c>
      <c r="E774" s="746">
        <f t="shared" si="44"/>
        <v>0</v>
      </c>
      <c r="F774" s="691">
        <f t="shared" si="45"/>
        <v>0</v>
      </c>
      <c r="G774" s="1230">
        <f t="shared" si="46"/>
        <v>0</v>
      </c>
      <c r="H774" s="1233">
        <f t="shared" si="47"/>
        <v>0</v>
      </c>
      <c r="I774" s="743">
        <f t="shared" si="43"/>
        <v>0</v>
      </c>
      <c r="J774" s="743"/>
      <c r="K774" s="869"/>
      <c r="L774" s="749"/>
      <c r="M774" s="869"/>
      <c r="N774" s="749"/>
      <c r="O774" s="749"/>
    </row>
    <row r="775" spans="3:15">
      <c r="C775" s="739">
        <f>IF(D720="","-",+C774+1)</f>
        <v>2068</v>
      </c>
      <c r="D775" s="691">
        <f t="shared" si="42"/>
        <v>0</v>
      </c>
      <c r="E775" s="746">
        <f t="shared" si="44"/>
        <v>0</v>
      </c>
      <c r="F775" s="691">
        <f t="shared" si="45"/>
        <v>0</v>
      </c>
      <c r="G775" s="1230">
        <f t="shared" si="46"/>
        <v>0</v>
      </c>
      <c r="H775" s="1233">
        <f t="shared" si="47"/>
        <v>0</v>
      </c>
      <c r="I775" s="743">
        <f t="shared" si="43"/>
        <v>0</v>
      </c>
      <c r="J775" s="743"/>
      <c r="K775" s="869"/>
      <c r="L775" s="749"/>
      <c r="M775" s="869"/>
      <c r="N775" s="749"/>
      <c r="O775" s="749"/>
    </row>
    <row r="776" spans="3:15">
      <c r="C776" s="739">
        <f>IF(D720="","-",+C775+1)</f>
        <v>2069</v>
      </c>
      <c r="D776" s="691">
        <f t="shared" si="42"/>
        <v>0</v>
      </c>
      <c r="E776" s="746">
        <f t="shared" si="44"/>
        <v>0</v>
      </c>
      <c r="F776" s="691">
        <f t="shared" si="45"/>
        <v>0</v>
      </c>
      <c r="G776" s="1230">
        <f t="shared" si="46"/>
        <v>0</v>
      </c>
      <c r="H776" s="1233">
        <f t="shared" si="47"/>
        <v>0</v>
      </c>
      <c r="I776" s="743">
        <f t="shared" si="43"/>
        <v>0</v>
      </c>
      <c r="J776" s="743"/>
      <c r="K776" s="869"/>
      <c r="L776" s="749"/>
      <c r="M776" s="869"/>
      <c r="N776" s="749"/>
      <c r="O776" s="749"/>
    </row>
    <row r="777" spans="3:15">
      <c r="C777" s="739">
        <f>IF(D720="","-",+C776+1)</f>
        <v>2070</v>
      </c>
      <c r="D777" s="691">
        <f t="shared" si="42"/>
        <v>0</v>
      </c>
      <c r="E777" s="746">
        <f t="shared" si="44"/>
        <v>0</v>
      </c>
      <c r="F777" s="691">
        <f t="shared" si="45"/>
        <v>0</v>
      </c>
      <c r="G777" s="1230">
        <f t="shared" si="46"/>
        <v>0</v>
      </c>
      <c r="H777" s="1233">
        <f t="shared" si="47"/>
        <v>0</v>
      </c>
      <c r="I777" s="743">
        <f t="shared" si="43"/>
        <v>0</v>
      </c>
      <c r="J777" s="743"/>
      <c r="K777" s="869"/>
      <c r="L777" s="749"/>
      <c r="M777" s="869"/>
      <c r="N777" s="749"/>
      <c r="O777" s="749"/>
    </row>
    <row r="778" spans="3:15">
      <c r="C778" s="739">
        <f>IF(D720="","-",+C777+1)</f>
        <v>2071</v>
      </c>
      <c r="D778" s="691">
        <f t="shared" si="42"/>
        <v>0</v>
      </c>
      <c r="E778" s="746">
        <f t="shared" si="44"/>
        <v>0</v>
      </c>
      <c r="F778" s="691">
        <f t="shared" si="45"/>
        <v>0</v>
      </c>
      <c r="G778" s="1230">
        <f t="shared" si="46"/>
        <v>0</v>
      </c>
      <c r="H778" s="1233">
        <f t="shared" si="47"/>
        <v>0</v>
      </c>
      <c r="I778" s="743">
        <f t="shared" si="43"/>
        <v>0</v>
      </c>
      <c r="J778" s="743"/>
      <c r="K778" s="869"/>
      <c r="L778" s="749"/>
      <c r="M778" s="869"/>
      <c r="N778" s="749"/>
      <c r="O778" s="749"/>
    </row>
    <row r="779" spans="3:15">
      <c r="C779" s="739">
        <f>IF(D720="","-",+C778+1)</f>
        <v>2072</v>
      </c>
      <c r="D779" s="691">
        <f t="shared" si="42"/>
        <v>0</v>
      </c>
      <c r="E779" s="746">
        <f t="shared" si="44"/>
        <v>0</v>
      </c>
      <c r="F779" s="691">
        <f t="shared" si="45"/>
        <v>0</v>
      </c>
      <c r="G779" s="1230">
        <f t="shared" si="46"/>
        <v>0</v>
      </c>
      <c r="H779" s="1233">
        <f t="shared" si="47"/>
        <v>0</v>
      </c>
      <c r="I779" s="743">
        <f t="shared" si="43"/>
        <v>0</v>
      </c>
      <c r="J779" s="743"/>
      <c r="K779" s="869"/>
      <c r="L779" s="749"/>
      <c r="M779" s="869"/>
      <c r="N779" s="749"/>
      <c r="O779" s="749"/>
    </row>
    <row r="780" spans="3:15">
      <c r="C780" s="739">
        <f>IF(D720="","-",+C779+1)</f>
        <v>2073</v>
      </c>
      <c r="D780" s="691">
        <f t="shared" si="42"/>
        <v>0</v>
      </c>
      <c r="E780" s="746">
        <f t="shared" si="44"/>
        <v>0</v>
      </c>
      <c r="F780" s="691">
        <f t="shared" si="45"/>
        <v>0</v>
      </c>
      <c r="G780" s="1230">
        <f t="shared" si="46"/>
        <v>0</v>
      </c>
      <c r="H780" s="1233">
        <f t="shared" si="47"/>
        <v>0</v>
      </c>
      <c r="I780" s="743">
        <f t="shared" si="43"/>
        <v>0</v>
      </c>
      <c r="J780" s="743"/>
      <c r="K780" s="869"/>
      <c r="L780" s="749"/>
      <c r="M780" s="869"/>
      <c r="N780" s="749"/>
      <c r="O780" s="749"/>
    </row>
    <row r="781" spans="3:15">
      <c r="C781" s="739">
        <f>IF(D720="","-",+C780+1)</f>
        <v>2074</v>
      </c>
      <c r="D781" s="691">
        <f t="shared" si="42"/>
        <v>0</v>
      </c>
      <c r="E781" s="746">
        <f t="shared" si="44"/>
        <v>0</v>
      </c>
      <c r="F781" s="691">
        <f t="shared" si="45"/>
        <v>0</v>
      </c>
      <c r="G781" s="1230">
        <f t="shared" si="46"/>
        <v>0</v>
      </c>
      <c r="H781" s="1233">
        <f t="shared" si="47"/>
        <v>0</v>
      </c>
      <c r="I781" s="743">
        <f t="shared" si="43"/>
        <v>0</v>
      </c>
      <c r="J781" s="743"/>
      <c r="K781" s="869"/>
      <c r="L781" s="749"/>
      <c r="M781" s="869"/>
      <c r="N781" s="749"/>
      <c r="O781" s="749"/>
    </row>
    <row r="782" spans="3:15">
      <c r="C782" s="739">
        <f>IF(D720="","-",+C781+1)</f>
        <v>2075</v>
      </c>
      <c r="D782" s="691">
        <f t="shared" si="42"/>
        <v>0</v>
      </c>
      <c r="E782" s="746">
        <f t="shared" si="44"/>
        <v>0</v>
      </c>
      <c r="F782" s="691">
        <f t="shared" si="45"/>
        <v>0</v>
      </c>
      <c r="G782" s="1230">
        <f t="shared" si="46"/>
        <v>0</v>
      </c>
      <c r="H782" s="1233">
        <f t="shared" si="47"/>
        <v>0</v>
      </c>
      <c r="I782" s="743">
        <f t="shared" si="43"/>
        <v>0</v>
      </c>
      <c r="J782" s="743"/>
      <c r="K782" s="869"/>
      <c r="L782" s="749"/>
      <c r="M782" s="869"/>
      <c r="N782" s="749"/>
      <c r="O782" s="749"/>
    </row>
    <row r="783" spans="3:15">
      <c r="C783" s="739">
        <f>IF(D720="","-",+C782+1)</f>
        <v>2076</v>
      </c>
      <c r="D783" s="691">
        <f t="shared" si="42"/>
        <v>0</v>
      </c>
      <c r="E783" s="746">
        <f t="shared" si="44"/>
        <v>0</v>
      </c>
      <c r="F783" s="691">
        <f t="shared" si="45"/>
        <v>0</v>
      </c>
      <c r="G783" s="1230">
        <f t="shared" si="46"/>
        <v>0</v>
      </c>
      <c r="H783" s="1233">
        <f t="shared" si="47"/>
        <v>0</v>
      </c>
      <c r="I783" s="743">
        <f t="shared" si="43"/>
        <v>0</v>
      </c>
      <c r="J783" s="743"/>
      <c r="K783" s="869"/>
      <c r="L783" s="749"/>
      <c r="M783" s="869"/>
      <c r="N783" s="749"/>
      <c r="O783" s="749"/>
    </row>
    <row r="784" spans="3:15">
      <c r="C784" s="739">
        <f>IF(D720="","-",+C783+1)</f>
        <v>2077</v>
      </c>
      <c r="D784" s="691">
        <f t="shared" si="42"/>
        <v>0</v>
      </c>
      <c r="E784" s="746">
        <f t="shared" si="44"/>
        <v>0</v>
      </c>
      <c r="F784" s="691">
        <f t="shared" si="45"/>
        <v>0</v>
      </c>
      <c r="G784" s="1230">
        <f t="shared" si="46"/>
        <v>0</v>
      </c>
      <c r="H784" s="1233">
        <f t="shared" si="47"/>
        <v>0</v>
      </c>
      <c r="I784" s="743">
        <f t="shared" si="43"/>
        <v>0</v>
      </c>
      <c r="J784" s="743"/>
      <c r="K784" s="869"/>
      <c r="L784" s="749"/>
      <c r="M784" s="869"/>
      <c r="N784" s="749"/>
      <c r="O784" s="749"/>
    </row>
    <row r="785" spans="1:16" ht="13.5" thickBot="1">
      <c r="C785" s="750">
        <f>IF(D720="","-",+C784+1)</f>
        <v>2078</v>
      </c>
      <c r="D785" s="751">
        <f t="shared" si="42"/>
        <v>0</v>
      </c>
      <c r="E785" s="752">
        <f t="shared" si="44"/>
        <v>0</v>
      </c>
      <c r="F785" s="751">
        <f t="shared" si="45"/>
        <v>0</v>
      </c>
      <c r="G785" s="1241">
        <f t="shared" si="46"/>
        <v>0</v>
      </c>
      <c r="H785" s="1220">
        <f t="shared" si="47"/>
        <v>0</v>
      </c>
      <c r="I785" s="754">
        <f t="shared" si="43"/>
        <v>0</v>
      </c>
      <c r="J785" s="743"/>
      <c r="K785" s="870"/>
      <c r="L785" s="756"/>
      <c r="M785" s="870"/>
      <c r="N785" s="756"/>
      <c r="O785" s="756"/>
    </row>
    <row r="786" spans="1:16">
      <c r="C786" s="691" t="s">
        <v>289</v>
      </c>
      <c r="D786" s="1211"/>
      <c r="E786" s="1211">
        <f>SUM(E726:E785)</f>
        <v>653739.24999999988</v>
      </c>
      <c r="F786" s="1211"/>
      <c r="G786" s="1211">
        <f>SUM(G726:G785)</f>
        <v>2159132.6331228809</v>
      </c>
      <c r="H786" s="1211">
        <f>SUM(H726:H785)</f>
        <v>2159132.6331228809</v>
      </c>
      <c r="I786" s="1211">
        <f>SUM(I726:I785)</f>
        <v>0</v>
      </c>
      <c r="J786" s="1211"/>
      <c r="K786" s="1211"/>
      <c r="L786" s="1211"/>
      <c r="M786" s="1211"/>
      <c r="N786" s="1211"/>
      <c r="O786" s="558"/>
    </row>
    <row r="787" spans="1:16">
      <c r="D787" s="581"/>
      <c r="E787" s="558"/>
      <c r="F787" s="558"/>
      <c r="G787" s="558"/>
      <c r="H787" s="1210"/>
      <c r="I787" s="1210"/>
      <c r="J787" s="1211"/>
      <c r="K787" s="1210"/>
      <c r="L787" s="1210"/>
      <c r="M787" s="1210"/>
      <c r="N787" s="1210"/>
      <c r="O787" s="558"/>
    </row>
    <row r="788" spans="1:16">
      <c r="C788" s="1242" t="s">
        <v>926</v>
      </c>
      <c r="D788" s="581"/>
      <c r="E788" s="558"/>
      <c r="F788" s="558"/>
      <c r="G788" s="558"/>
      <c r="H788" s="1210"/>
      <c r="I788" s="1210"/>
      <c r="J788" s="1211"/>
      <c r="K788" s="1210"/>
      <c r="L788" s="1210"/>
      <c r="M788" s="1210"/>
      <c r="N788" s="1210"/>
      <c r="O788" s="558"/>
    </row>
    <row r="789" spans="1:16">
      <c r="D789" s="581"/>
      <c r="E789" s="558"/>
      <c r="F789" s="558"/>
      <c r="G789" s="558"/>
      <c r="H789" s="1210"/>
      <c r="I789" s="1210"/>
      <c r="J789" s="1211"/>
      <c r="K789" s="1210"/>
      <c r="L789" s="1210"/>
      <c r="M789" s="1210"/>
      <c r="N789" s="1210"/>
      <c r="O789" s="558"/>
    </row>
    <row r="790" spans="1:16">
      <c r="C790" s="704" t="s">
        <v>927</v>
      </c>
      <c r="D790" s="691"/>
      <c r="E790" s="691"/>
      <c r="F790" s="691"/>
      <c r="G790" s="1211"/>
      <c r="H790" s="1211"/>
      <c r="I790" s="692"/>
      <c r="J790" s="692"/>
      <c r="K790" s="692"/>
      <c r="L790" s="692"/>
      <c r="M790" s="692"/>
      <c r="N790" s="692"/>
      <c r="O790" s="558"/>
    </row>
    <row r="791" spans="1:16">
      <c r="C791" s="690" t="s">
        <v>477</v>
      </c>
      <c r="D791" s="691"/>
      <c r="E791" s="691"/>
      <c r="F791" s="691"/>
      <c r="G791" s="1211"/>
      <c r="H791" s="1211"/>
      <c r="I791" s="692"/>
      <c r="J791" s="692"/>
      <c r="K791" s="692"/>
      <c r="L791" s="692"/>
      <c r="M791" s="692"/>
      <c r="N791" s="692"/>
      <c r="O791" s="558"/>
    </row>
    <row r="792" spans="1:16">
      <c r="C792" s="690" t="s">
        <v>290</v>
      </c>
      <c r="D792" s="691"/>
      <c r="E792" s="691"/>
      <c r="F792" s="691"/>
      <c r="G792" s="1211"/>
      <c r="H792" s="1211"/>
      <c r="I792" s="692"/>
      <c r="J792" s="692"/>
      <c r="K792" s="692"/>
      <c r="L792" s="692"/>
      <c r="M792" s="692"/>
      <c r="N792" s="692"/>
      <c r="O792" s="558"/>
    </row>
    <row r="793" spans="1:16">
      <c r="C793" s="690"/>
      <c r="D793" s="691"/>
      <c r="E793" s="691"/>
      <c r="F793" s="691"/>
      <c r="G793" s="1211"/>
      <c r="H793" s="1211"/>
      <c r="I793" s="692"/>
      <c r="J793" s="692"/>
      <c r="K793" s="692"/>
      <c r="L793" s="692"/>
      <c r="M793" s="692"/>
      <c r="N793" s="692"/>
      <c r="O793" s="558"/>
    </row>
    <row r="794" spans="1:16">
      <c r="C794" s="1601" t="s">
        <v>461</v>
      </c>
      <c r="D794" s="1601"/>
      <c r="E794" s="1601"/>
      <c r="F794" s="1601"/>
      <c r="G794" s="1601"/>
      <c r="H794" s="1601"/>
      <c r="I794" s="1601"/>
      <c r="J794" s="1601"/>
      <c r="K794" s="1601"/>
      <c r="L794" s="1601"/>
      <c r="M794" s="1601"/>
      <c r="N794" s="1601"/>
      <c r="O794" s="1601"/>
    </row>
    <row r="795" spans="1:16">
      <c r="C795" s="1601"/>
      <c r="D795" s="1601"/>
      <c r="E795" s="1601"/>
      <c r="F795" s="1601"/>
      <c r="G795" s="1601"/>
      <c r="H795" s="1601"/>
      <c r="I795" s="1601"/>
      <c r="J795" s="1601"/>
      <c r="K795" s="1601"/>
      <c r="L795" s="1601"/>
      <c r="M795" s="1601"/>
      <c r="N795" s="1601"/>
      <c r="O795" s="1601"/>
    </row>
    <row r="796" spans="1:16" ht="20.25">
      <c r="A796" s="693" t="s">
        <v>923</v>
      </c>
      <c r="B796" s="594"/>
      <c r="C796" s="673"/>
      <c r="D796" s="581"/>
      <c r="E796" s="558"/>
      <c r="F796" s="663"/>
      <c r="G796" s="558"/>
      <c r="H796" s="1210"/>
      <c r="K796" s="694"/>
      <c r="L796" s="694"/>
      <c r="M796" s="694"/>
      <c r="N796" s="609" t="str">
        <f>"Page "&amp;P796&amp;" of "</f>
        <v xml:space="preserve">Page 9 of </v>
      </c>
      <c r="O796" s="610">
        <f>COUNT(P$6:P$59527)</f>
        <v>10</v>
      </c>
      <c r="P796" s="558">
        <v>9</v>
      </c>
    </row>
    <row r="797" spans="1:16">
      <c r="B797" s="594"/>
      <c r="C797" s="558"/>
      <c r="D797" s="581"/>
      <c r="E797" s="558"/>
      <c r="F797" s="558"/>
      <c r="G797" s="558"/>
      <c r="H797" s="1210"/>
      <c r="I797" s="558"/>
      <c r="J797" s="606"/>
      <c r="K797" s="558"/>
      <c r="L797" s="558"/>
      <c r="M797" s="558"/>
      <c r="N797" s="558"/>
      <c r="O797" s="558"/>
    </row>
    <row r="798" spans="1:16" ht="18">
      <c r="B798" s="613" t="s">
        <v>175</v>
      </c>
      <c r="C798" s="695" t="s">
        <v>291</v>
      </c>
      <c r="D798" s="581"/>
      <c r="E798" s="558"/>
      <c r="F798" s="558"/>
      <c r="G798" s="558"/>
      <c r="H798" s="1210"/>
      <c r="I798" s="1210"/>
      <c r="J798" s="1211"/>
      <c r="K798" s="1210"/>
      <c r="L798" s="1210"/>
      <c r="M798" s="1210"/>
      <c r="N798" s="1210"/>
      <c r="O798" s="558"/>
    </row>
    <row r="799" spans="1:16" ht="18.75">
      <c r="B799" s="613"/>
      <c r="C799" s="612"/>
      <c r="D799" s="581"/>
      <c r="E799" s="558"/>
      <c r="F799" s="558"/>
      <c r="G799" s="558"/>
      <c r="H799" s="1210"/>
      <c r="I799" s="1210"/>
      <c r="J799" s="1211"/>
      <c r="K799" s="1210"/>
      <c r="L799" s="1210"/>
      <c r="M799" s="1210"/>
      <c r="N799" s="1210"/>
      <c r="O799" s="558"/>
    </row>
    <row r="800" spans="1:16" ht="18.75">
      <c r="B800" s="613"/>
      <c r="C800" s="612" t="s">
        <v>292</v>
      </c>
      <c r="D800" s="581"/>
      <c r="E800" s="558"/>
      <c r="F800" s="558"/>
      <c r="G800" s="558"/>
      <c r="H800" s="1210"/>
      <c r="I800" s="1210"/>
      <c r="J800" s="1211"/>
      <c r="K800" s="1210"/>
      <c r="L800" s="1210"/>
      <c r="M800" s="1210"/>
      <c r="N800" s="1210"/>
      <c r="O800" s="558"/>
    </row>
    <row r="801" spans="1:15" ht="15.75" thickBot="1">
      <c r="C801" s="411"/>
      <c r="D801" s="581"/>
      <c r="E801" s="558"/>
      <c r="F801" s="558"/>
      <c r="G801" s="558"/>
      <c r="H801" s="1210"/>
      <c r="I801" s="1210"/>
      <c r="J801" s="1211"/>
      <c r="K801" s="1210"/>
      <c r="L801" s="1210"/>
      <c r="M801" s="1210"/>
      <c r="N801" s="1210"/>
      <c r="O801" s="558"/>
    </row>
    <row r="802" spans="1:15" ht="15.75">
      <c r="C802" s="614" t="s">
        <v>293</v>
      </c>
      <c r="D802" s="581"/>
      <c r="E802" s="558"/>
      <c r="F802" s="558"/>
      <c r="G802" s="1212"/>
      <c r="H802" s="558" t="s">
        <v>272</v>
      </c>
      <c r="I802" s="558"/>
      <c r="J802" s="606"/>
      <c r="K802" s="696" t="s">
        <v>297</v>
      </c>
      <c r="L802" s="697"/>
      <c r="M802" s="698"/>
      <c r="N802" s="1213">
        <f>VLOOKUP(I808,C815:O874,5)</f>
        <v>67532.72947825455</v>
      </c>
      <c r="O802" s="558"/>
    </row>
    <row r="803" spans="1:15" ht="15.75">
      <c r="C803" s="614"/>
      <c r="D803" s="581"/>
      <c r="E803" s="558"/>
      <c r="F803" s="558"/>
      <c r="G803" s="558"/>
      <c r="H803" s="1214"/>
      <c r="I803" s="1214"/>
      <c r="J803" s="1215"/>
      <c r="K803" s="701" t="s">
        <v>298</v>
      </c>
      <c r="L803" s="1216"/>
      <c r="M803" s="606"/>
      <c r="N803" s="1217">
        <f>VLOOKUP(I808,C815:O874,6)</f>
        <v>67532.72947825455</v>
      </c>
      <c r="O803" s="558"/>
    </row>
    <row r="804" spans="1:15" ht="13.5" thickBot="1">
      <c r="C804" s="702" t="s">
        <v>294</v>
      </c>
      <c r="D804" s="1610" t="s">
        <v>940</v>
      </c>
      <c r="E804" s="1611"/>
      <c r="F804" s="1611"/>
      <c r="G804" s="1611"/>
      <c r="H804" s="1611"/>
      <c r="I804" s="1611"/>
      <c r="J804" s="1211"/>
      <c r="K804" s="1218" t="s">
        <v>451</v>
      </c>
      <c r="L804" s="1219"/>
      <c r="M804" s="1219"/>
      <c r="N804" s="1220">
        <f>+N803-N802</f>
        <v>0</v>
      </c>
      <c r="O804" s="558"/>
    </row>
    <row r="805" spans="1:15">
      <c r="C805" s="704"/>
      <c r="D805" s="1611"/>
      <c r="E805" s="1611"/>
      <c r="F805" s="1611"/>
      <c r="G805" s="1611"/>
      <c r="H805" s="1611"/>
      <c r="I805" s="1611"/>
      <c r="J805" s="1211"/>
      <c r="K805" s="1210"/>
      <c r="L805" s="1210"/>
      <c r="M805" s="1210"/>
      <c r="N805" s="1210"/>
      <c r="O805" s="558"/>
    </row>
    <row r="806" spans="1:15" ht="13.5" thickBot="1">
      <c r="C806" s="707"/>
      <c r="D806" s="708"/>
      <c r="E806" s="706"/>
      <c r="F806" s="706"/>
      <c r="G806" s="706"/>
      <c r="H806" s="706"/>
      <c r="I806" s="706"/>
      <c r="J806" s="709"/>
      <c r="K806" s="706"/>
      <c r="L806" s="706"/>
      <c r="M806" s="706"/>
      <c r="N806" s="706"/>
      <c r="O806" s="594"/>
    </row>
    <row r="807" spans="1:15" ht="13.5" thickBot="1">
      <c r="C807" s="710" t="s">
        <v>295</v>
      </c>
      <c r="D807" s="711"/>
      <c r="E807" s="711"/>
      <c r="F807" s="711"/>
      <c r="G807" s="711"/>
      <c r="H807" s="711"/>
      <c r="I807" s="712"/>
      <c r="J807" s="713"/>
      <c r="K807" s="558"/>
      <c r="L807" s="558"/>
      <c r="M807" s="558"/>
      <c r="N807" s="558"/>
      <c r="O807" s="714"/>
    </row>
    <row r="808" spans="1:15" ht="15">
      <c r="C808" s="716" t="s">
        <v>273</v>
      </c>
      <c r="D808" s="1221">
        <v>633539.96</v>
      </c>
      <c r="E808" s="673" t="s">
        <v>274</v>
      </c>
      <c r="G808" s="717"/>
      <c r="H808" s="717"/>
      <c r="I808" s="718">
        <f>I719</f>
        <v>2025</v>
      </c>
      <c r="J808" s="604"/>
      <c r="K808" s="1600" t="s">
        <v>460</v>
      </c>
      <c r="L808" s="1600"/>
      <c r="M808" s="1600"/>
      <c r="N808" s="1600"/>
      <c r="O808" s="1600"/>
    </row>
    <row r="809" spans="1:15">
      <c r="C809" s="716" t="s">
        <v>276</v>
      </c>
      <c r="D809" s="864">
        <v>2013</v>
      </c>
      <c r="E809" s="716" t="s">
        <v>277</v>
      </c>
      <c r="F809" s="717"/>
      <c r="H809" s="345"/>
      <c r="I809" s="867">
        <f>IF(G802="",0,$F$15)</f>
        <v>0</v>
      </c>
      <c r="J809" s="719"/>
      <c r="K809" s="1211" t="s">
        <v>460</v>
      </c>
    </row>
    <row r="810" spans="1:15">
      <c r="C810" s="716" t="s">
        <v>278</v>
      </c>
      <c r="D810" s="1221">
        <v>4</v>
      </c>
      <c r="E810" s="716" t="s">
        <v>279</v>
      </c>
      <c r="F810" s="717"/>
      <c r="H810" s="345"/>
      <c r="I810" s="720">
        <f>$G$70</f>
        <v>0.11808937687765908</v>
      </c>
      <c r="J810" s="721"/>
      <c r="K810" s="345" t="str">
        <f>"          INPUT PROJECTED ARR (WITH &amp; WITHOUT INCENTIVES) FROM EACH PRIOR YEAR"</f>
        <v xml:space="preserve">          INPUT PROJECTED ARR (WITH &amp; WITHOUT INCENTIVES) FROM EACH PRIOR YEAR</v>
      </c>
    </row>
    <row r="811" spans="1:15">
      <c r="C811" s="716" t="s">
        <v>280</v>
      </c>
      <c r="D811" s="722">
        <f>G$79</f>
        <v>38</v>
      </c>
      <c r="E811" s="716" t="s">
        <v>281</v>
      </c>
      <c r="F811" s="717"/>
      <c r="H811" s="345"/>
      <c r="I811" s="720">
        <f>IF(G802="",I810,$G$67)</f>
        <v>0.11808937687765908</v>
      </c>
      <c r="J811" s="723"/>
      <c r="K811" s="345" t="s">
        <v>358</v>
      </c>
    </row>
    <row r="812" spans="1:15" ht="13.5" thickBot="1">
      <c r="C812" s="716" t="s">
        <v>282</v>
      </c>
      <c r="D812" s="866" t="s">
        <v>925</v>
      </c>
      <c r="E812" s="724" t="s">
        <v>283</v>
      </c>
      <c r="F812" s="725"/>
      <c r="G812" s="726"/>
      <c r="H812" s="726"/>
      <c r="I812" s="1220">
        <f>IF(D808=0,0,D808/D811)</f>
        <v>16672.104210526315</v>
      </c>
      <c r="J812" s="1211"/>
      <c r="K812" s="1211" t="s">
        <v>364</v>
      </c>
      <c r="L812" s="1211"/>
      <c r="M812" s="1211"/>
      <c r="N812" s="1211"/>
      <c r="O812" s="606"/>
    </row>
    <row r="813" spans="1:15" ht="51">
      <c r="A813" s="545"/>
      <c r="B813" s="1222"/>
      <c r="C813" s="727" t="s">
        <v>273</v>
      </c>
      <c r="D813" s="1223" t="s">
        <v>284</v>
      </c>
      <c r="E813" s="1224" t="s">
        <v>285</v>
      </c>
      <c r="F813" s="1223" t="s">
        <v>286</v>
      </c>
      <c r="G813" s="1224" t="s">
        <v>357</v>
      </c>
      <c r="H813" s="1225" t="s">
        <v>357</v>
      </c>
      <c r="I813" s="727" t="s">
        <v>296</v>
      </c>
      <c r="J813" s="731"/>
      <c r="K813" s="1224" t="s">
        <v>366</v>
      </c>
      <c r="L813" s="1226"/>
      <c r="M813" s="1224" t="s">
        <v>366</v>
      </c>
      <c r="N813" s="1226"/>
      <c r="O813" s="1226"/>
    </row>
    <row r="814" spans="1:15" ht="13.5" thickBot="1">
      <c r="C814" s="733" t="s">
        <v>178</v>
      </c>
      <c r="D814" s="734" t="s">
        <v>179</v>
      </c>
      <c r="E814" s="733" t="s">
        <v>38</v>
      </c>
      <c r="F814" s="734" t="s">
        <v>179</v>
      </c>
      <c r="G814" s="1227" t="s">
        <v>299</v>
      </c>
      <c r="H814" s="1228" t="s">
        <v>301</v>
      </c>
      <c r="I814" s="737" t="s">
        <v>390</v>
      </c>
      <c r="J814" s="738"/>
      <c r="K814" s="1227" t="s">
        <v>288</v>
      </c>
      <c r="L814" s="1229"/>
      <c r="M814" s="1227" t="s">
        <v>301</v>
      </c>
      <c r="N814" s="1229"/>
      <c r="O814" s="1229"/>
    </row>
    <row r="815" spans="1:15">
      <c r="C815" s="739">
        <f>IF(D809= "","-",D809)</f>
        <v>2013</v>
      </c>
      <c r="D815" s="691">
        <f>+D808</f>
        <v>633539.96</v>
      </c>
      <c r="E815" s="1230">
        <f>+I812/12*(12-D810)</f>
        <v>11114.736140350877</v>
      </c>
      <c r="F815" s="691">
        <f>+D815-E815</f>
        <v>622425.22385964904</v>
      </c>
      <c r="G815" s="1231">
        <f>+$I$810*((D815+F815)/2)+E815</f>
        <v>85272.80911136113</v>
      </c>
      <c r="H815" s="1232">
        <f>+$I$811*((D815+F815)/2)+E815</f>
        <v>85272.80911136113</v>
      </c>
      <c r="I815" s="743">
        <f>+H815-G815</f>
        <v>0</v>
      </c>
      <c r="J815" s="743"/>
      <c r="K815" s="869">
        <v>0</v>
      </c>
      <c r="L815" s="745"/>
      <c r="M815" s="869">
        <v>0</v>
      </c>
      <c r="N815" s="745"/>
      <c r="O815" s="745"/>
    </row>
    <row r="816" spans="1:15">
      <c r="C816" s="739">
        <f>IF(D809="","-",+C815+1)</f>
        <v>2014</v>
      </c>
      <c r="D816" s="691">
        <f t="shared" ref="D816:D874" si="48">F815</f>
        <v>622425.22385964904</v>
      </c>
      <c r="E816" s="746">
        <f>IF(D816&gt;$I$812,$I$812,D816)</f>
        <v>16672.104210526315</v>
      </c>
      <c r="F816" s="691">
        <f>+D816-E816</f>
        <v>605753.1196491227</v>
      </c>
      <c r="G816" s="1230">
        <f>+$I$810*((D816+F816)/2)+E816</f>
        <v>89189.511850319497</v>
      </c>
      <c r="H816" s="1233">
        <f>+$I$810*((D816+F816)/2)+E816</f>
        <v>89189.511850319497</v>
      </c>
      <c r="I816" s="743">
        <f t="shared" ref="I816:I874" si="49">+H816-G816</f>
        <v>0</v>
      </c>
      <c r="J816" s="743"/>
      <c r="K816" s="869">
        <v>0</v>
      </c>
      <c r="L816" s="749"/>
      <c r="M816" s="869">
        <v>0</v>
      </c>
      <c r="N816" s="749"/>
      <c r="O816" s="749"/>
    </row>
    <row r="817" spans="3:15">
      <c r="C817" s="1247">
        <f>IF(D809="","-",+C816+1)</f>
        <v>2015</v>
      </c>
      <c r="D817" s="1235">
        <f t="shared" si="48"/>
        <v>605753.1196491227</v>
      </c>
      <c r="E817" s="746">
        <f t="shared" ref="E817:E874" si="50">IF(D817&gt;$I$812,$I$812,D817)</f>
        <v>16672.104210526315</v>
      </c>
      <c r="F817" s="691">
        <f t="shared" ref="F817:F874" si="51">+D817-E817</f>
        <v>589081.01543859637</v>
      </c>
      <c r="G817" s="1230">
        <f t="shared" ref="G817:G874" si="52">+$I$810*((D817+F817)/2)+E817</f>
        <v>87220.713452859069</v>
      </c>
      <c r="H817" s="1233">
        <f t="shared" ref="H817:H874" si="53">+$I$810*((D817+F817)/2)+E817</f>
        <v>87220.713452859069</v>
      </c>
      <c r="I817" s="1239">
        <f t="shared" si="49"/>
        <v>0</v>
      </c>
      <c r="J817" s="743"/>
      <c r="K817" s="869"/>
      <c r="L817" s="749"/>
      <c r="M817" s="869"/>
      <c r="N817" s="749"/>
      <c r="O817" s="749"/>
    </row>
    <row r="818" spans="3:15">
      <c r="C818" s="739">
        <f>IF(D809="","-",+C817+1)</f>
        <v>2016</v>
      </c>
      <c r="D818" s="691">
        <f t="shared" si="48"/>
        <v>589081.01543859637</v>
      </c>
      <c r="E818" s="746">
        <f t="shared" si="50"/>
        <v>16672.104210526315</v>
      </c>
      <c r="F818" s="691">
        <f t="shared" si="51"/>
        <v>572408.91122807004</v>
      </c>
      <c r="G818" s="1230">
        <f t="shared" si="52"/>
        <v>85251.915055398596</v>
      </c>
      <c r="H818" s="1233">
        <f t="shared" si="53"/>
        <v>85251.915055398596</v>
      </c>
      <c r="I818" s="743">
        <f t="shared" si="49"/>
        <v>0</v>
      </c>
      <c r="J818" s="743"/>
      <c r="K818" s="869"/>
      <c r="L818" s="749"/>
      <c r="M818" s="869"/>
      <c r="N818" s="749"/>
      <c r="O818" s="749"/>
    </row>
    <row r="819" spans="3:15">
      <c r="C819" s="739">
        <f>IF(D809="","-",+C818+1)</f>
        <v>2017</v>
      </c>
      <c r="D819" s="691">
        <f t="shared" si="48"/>
        <v>572408.91122807004</v>
      </c>
      <c r="E819" s="746">
        <f t="shared" si="50"/>
        <v>16672.104210526315</v>
      </c>
      <c r="F819" s="691">
        <f t="shared" si="51"/>
        <v>555736.8070175437</v>
      </c>
      <c r="G819" s="1230">
        <f t="shared" si="52"/>
        <v>83283.116657938168</v>
      </c>
      <c r="H819" s="1233">
        <f t="shared" si="53"/>
        <v>83283.116657938168</v>
      </c>
      <c r="I819" s="743">
        <f t="shared" si="49"/>
        <v>0</v>
      </c>
      <c r="J819" s="743"/>
      <c r="K819" s="869"/>
      <c r="L819" s="749"/>
      <c r="M819" s="869"/>
      <c r="N819" s="749"/>
      <c r="O819" s="749"/>
    </row>
    <row r="820" spans="3:15">
      <c r="C820" s="739">
        <f>IF(D809="","-",+C819+1)</f>
        <v>2018</v>
      </c>
      <c r="D820" s="691">
        <f t="shared" si="48"/>
        <v>555736.8070175437</v>
      </c>
      <c r="E820" s="746">
        <f t="shared" si="50"/>
        <v>16672.104210526315</v>
      </c>
      <c r="F820" s="691">
        <f t="shared" si="51"/>
        <v>539064.70280701737</v>
      </c>
      <c r="G820" s="1230">
        <f t="shared" si="52"/>
        <v>81314.318260477696</v>
      </c>
      <c r="H820" s="1233">
        <f t="shared" si="53"/>
        <v>81314.318260477696</v>
      </c>
      <c r="I820" s="743">
        <f t="shared" si="49"/>
        <v>0</v>
      </c>
      <c r="J820" s="743"/>
      <c r="K820" s="869"/>
      <c r="L820" s="749"/>
      <c r="M820" s="869"/>
      <c r="N820" s="749"/>
      <c r="O820" s="749"/>
    </row>
    <row r="821" spans="3:15">
      <c r="C821" s="739">
        <f>IF(D809="","-",+C820+1)</f>
        <v>2019</v>
      </c>
      <c r="D821" s="691">
        <f t="shared" si="48"/>
        <v>539064.70280701737</v>
      </c>
      <c r="E821" s="746">
        <f t="shared" si="50"/>
        <v>16672.104210526315</v>
      </c>
      <c r="F821" s="691">
        <f t="shared" si="51"/>
        <v>522392.59859649104</v>
      </c>
      <c r="G821" s="1230">
        <f t="shared" si="52"/>
        <v>79345.519863017253</v>
      </c>
      <c r="H821" s="1233">
        <f t="shared" si="53"/>
        <v>79345.519863017253</v>
      </c>
      <c r="I821" s="743">
        <f t="shared" si="49"/>
        <v>0</v>
      </c>
      <c r="J821" s="743"/>
      <c r="K821" s="869"/>
      <c r="L821" s="749"/>
      <c r="M821" s="869"/>
      <c r="N821" s="749"/>
      <c r="O821" s="749"/>
    </row>
    <row r="822" spans="3:15">
      <c r="C822" s="739">
        <f>IF(D809="","-",+C821+1)</f>
        <v>2020</v>
      </c>
      <c r="D822" s="691">
        <f t="shared" si="48"/>
        <v>522392.59859649104</v>
      </c>
      <c r="E822" s="746">
        <f t="shared" si="50"/>
        <v>16672.104210526315</v>
      </c>
      <c r="F822" s="691">
        <f t="shared" si="51"/>
        <v>505720.4943859647</v>
      </c>
      <c r="G822" s="1230">
        <f t="shared" si="52"/>
        <v>77376.721465556795</v>
      </c>
      <c r="H822" s="1233">
        <f t="shared" si="53"/>
        <v>77376.721465556795</v>
      </c>
      <c r="I822" s="743">
        <f t="shared" si="49"/>
        <v>0</v>
      </c>
      <c r="J822" s="743"/>
      <c r="K822" s="869">
        <v>66651.873871144417</v>
      </c>
      <c r="L822" s="749"/>
      <c r="M822" s="869">
        <v>66651.873871144417</v>
      </c>
      <c r="N822" s="749"/>
      <c r="O822" s="749"/>
    </row>
    <row r="823" spans="3:15">
      <c r="C823" s="739">
        <f>IF(D809="","-",+C822+1)</f>
        <v>2021</v>
      </c>
      <c r="D823" s="691">
        <f t="shared" si="48"/>
        <v>505720.4943859647</v>
      </c>
      <c r="E823" s="746">
        <f t="shared" si="50"/>
        <v>16672.104210526315</v>
      </c>
      <c r="F823" s="691">
        <f t="shared" si="51"/>
        <v>489048.39017543837</v>
      </c>
      <c r="G823" s="1230">
        <f t="shared" si="52"/>
        <v>75407.923068096352</v>
      </c>
      <c r="H823" s="1233">
        <f t="shared" si="53"/>
        <v>75407.923068096352</v>
      </c>
      <c r="I823" s="743">
        <f t="shared" si="49"/>
        <v>0</v>
      </c>
      <c r="J823" s="743"/>
      <c r="K823" s="869">
        <v>65739.836742852727</v>
      </c>
      <c r="L823" s="749"/>
      <c r="M823" s="869">
        <v>65739.836742852727</v>
      </c>
      <c r="N823" s="749"/>
      <c r="O823" s="749"/>
    </row>
    <row r="824" spans="3:15">
      <c r="C824" s="739">
        <f>IF(D809="","-",+C823+1)</f>
        <v>2022</v>
      </c>
      <c r="D824" s="691">
        <f t="shared" si="48"/>
        <v>489048.39017543837</v>
      </c>
      <c r="E824" s="746">
        <f t="shared" si="50"/>
        <v>16672.104210526315</v>
      </c>
      <c r="F824" s="691">
        <f t="shared" si="51"/>
        <v>472376.28596491204</v>
      </c>
      <c r="G824" s="1230">
        <f t="shared" si="52"/>
        <v>73439.124670635894</v>
      </c>
      <c r="H824" s="1233">
        <f t="shared" si="53"/>
        <v>73439.124670635894</v>
      </c>
      <c r="I824" s="743">
        <f t="shared" si="49"/>
        <v>0</v>
      </c>
      <c r="J824" s="743"/>
      <c r="K824" s="869">
        <v>66615.554034450033</v>
      </c>
      <c r="L824" s="749"/>
      <c r="M824" s="869">
        <v>66615.554034450033</v>
      </c>
      <c r="N824" s="749"/>
      <c r="O824" s="749"/>
    </row>
    <row r="825" spans="3:15">
      <c r="C825" s="739">
        <f>IF(D809="","-",+C824+1)</f>
        <v>2023</v>
      </c>
      <c r="D825" s="691">
        <f t="shared" si="48"/>
        <v>472376.28596491204</v>
      </c>
      <c r="E825" s="746">
        <f t="shared" si="50"/>
        <v>16672.104210526315</v>
      </c>
      <c r="F825" s="691">
        <f t="shared" si="51"/>
        <v>455704.1817543857</v>
      </c>
      <c r="G825" s="1230">
        <f t="shared" si="52"/>
        <v>71470.326273175451</v>
      </c>
      <c r="H825" s="1233">
        <f t="shared" si="53"/>
        <v>71470.326273175451</v>
      </c>
      <c r="I825" s="743">
        <f t="shared" si="49"/>
        <v>0</v>
      </c>
      <c r="J825" s="743"/>
      <c r="K825" s="869">
        <v>70606.432905633919</v>
      </c>
      <c r="L825" s="749"/>
      <c r="M825" s="869">
        <v>70606.432905633919</v>
      </c>
      <c r="N825" s="749"/>
      <c r="O825" s="749"/>
    </row>
    <row r="826" spans="3:15">
      <c r="C826" s="739">
        <f>IF(D809="","-",+C825+1)</f>
        <v>2024</v>
      </c>
      <c r="D826" s="691">
        <f t="shared" si="48"/>
        <v>455704.1817543857</v>
      </c>
      <c r="E826" s="746">
        <f t="shared" si="50"/>
        <v>16672.104210526315</v>
      </c>
      <c r="F826" s="691">
        <f t="shared" si="51"/>
        <v>439032.07754385937</v>
      </c>
      <c r="G826" s="1230">
        <f t="shared" si="52"/>
        <v>69501.527875714994</v>
      </c>
      <c r="H826" s="1233">
        <f t="shared" si="53"/>
        <v>69501.527875714994</v>
      </c>
      <c r="I826" s="743">
        <f t="shared" si="49"/>
        <v>0</v>
      </c>
      <c r="J826" s="743"/>
      <c r="K826" s="869">
        <v>70844.732422472764</v>
      </c>
      <c r="L826" s="749"/>
      <c r="M826" s="869">
        <v>70844.732422472764</v>
      </c>
      <c r="N826" s="749"/>
      <c r="O826" s="749"/>
    </row>
    <row r="827" spans="3:15">
      <c r="C827" s="739">
        <f>IF(D809="","-",+C826+1)</f>
        <v>2025</v>
      </c>
      <c r="D827" s="691">
        <f t="shared" si="48"/>
        <v>439032.07754385937</v>
      </c>
      <c r="E827" s="746">
        <f t="shared" si="50"/>
        <v>16672.104210526315</v>
      </c>
      <c r="F827" s="691">
        <f t="shared" si="51"/>
        <v>422359.97333333304</v>
      </c>
      <c r="G827" s="1230">
        <f t="shared" si="52"/>
        <v>67532.72947825455</v>
      </c>
      <c r="H827" s="1233">
        <f t="shared" si="53"/>
        <v>67532.72947825455</v>
      </c>
      <c r="I827" s="743">
        <f t="shared" si="49"/>
        <v>0</v>
      </c>
      <c r="J827" s="743"/>
      <c r="K827" s="869"/>
      <c r="L827" s="749"/>
      <c r="M827" s="869"/>
      <c r="N827" s="749"/>
      <c r="O827" s="749"/>
    </row>
    <row r="828" spans="3:15">
      <c r="C828" s="739">
        <f>IF(D809="","-",+C827+1)</f>
        <v>2026</v>
      </c>
      <c r="D828" s="691">
        <f t="shared" si="48"/>
        <v>422359.97333333304</v>
      </c>
      <c r="E828" s="746">
        <f t="shared" si="50"/>
        <v>16672.104210526315</v>
      </c>
      <c r="F828" s="691">
        <f t="shared" si="51"/>
        <v>405687.8691228067</v>
      </c>
      <c r="G828" s="1230">
        <f t="shared" si="52"/>
        <v>65563.931080794093</v>
      </c>
      <c r="H828" s="1233">
        <f t="shared" si="53"/>
        <v>65563.931080794093</v>
      </c>
      <c r="I828" s="743">
        <f t="shared" si="49"/>
        <v>0</v>
      </c>
      <c r="J828" s="743"/>
      <c r="K828" s="869"/>
      <c r="L828" s="749"/>
      <c r="M828" s="869"/>
      <c r="N828" s="749"/>
      <c r="O828" s="749"/>
    </row>
    <row r="829" spans="3:15">
      <c r="C829" s="739">
        <f>IF(D809="","-",+C828+1)</f>
        <v>2027</v>
      </c>
      <c r="D829" s="691">
        <f t="shared" si="48"/>
        <v>405687.8691228067</v>
      </c>
      <c r="E829" s="746">
        <f t="shared" si="50"/>
        <v>16672.104210526315</v>
      </c>
      <c r="F829" s="691">
        <f t="shared" si="51"/>
        <v>389015.76491228037</v>
      </c>
      <c r="G829" s="1230">
        <f t="shared" si="52"/>
        <v>63595.13268333365</v>
      </c>
      <c r="H829" s="1233">
        <f t="shared" si="53"/>
        <v>63595.13268333365</v>
      </c>
      <c r="I829" s="743">
        <f t="shared" si="49"/>
        <v>0</v>
      </c>
      <c r="J829" s="743"/>
      <c r="K829" s="869"/>
      <c r="L829" s="749"/>
      <c r="M829" s="869"/>
      <c r="N829" s="749"/>
      <c r="O829" s="749"/>
    </row>
    <row r="830" spans="3:15">
      <c r="C830" s="739">
        <f>IF(D809="","-",+C829+1)</f>
        <v>2028</v>
      </c>
      <c r="D830" s="691">
        <f t="shared" si="48"/>
        <v>389015.76491228037</v>
      </c>
      <c r="E830" s="746">
        <f t="shared" si="50"/>
        <v>16672.104210526315</v>
      </c>
      <c r="F830" s="691">
        <f t="shared" si="51"/>
        <v>372343.66070175404</v>
      </c>
      <c r="G830" s="1230">
        <f t="shared" si="52"/>
        <v>61626.334285873192</v>
      </c>
      <c r="H830" s="1233">
        <f t="shared" si="53"/>
        <v>61626.334285873192</v>
      </c>
      <c r="I830" s="743">
        <f t="shared" si="49"/>
        <v>0</v>
      </c>
      <c r="J830" s="743"/>
      <c r="K830" s="869"/>
      <c r="L830" s="749"/>
      <c r="M830" s="869"/>
      <c r="N830" s="749"/>
      <c r="O830" s="749"/>
    </row>
    <row r="831" spans="3:15">
      <c r="C831" s="739">
        <f>IF(D809="","-",+C830+1)</f>
        <v>2029</v>
      </c>
      <c r="D831" s="691">
        <f t="shared" si="48"/>
        <v>372343.66070175404</v>
      </c>
      <c r="E831" s="746">
        <f t="shared" si="50"/>
        <v>16672.104210526315</v>
      </c>
      <c r="F831" s="691">
        <f t="shared" si="51"/>
        <v>355671.5564912277</v>
      </c>
      <c r="G831" s="1230">
        <f t="shared" si="52"/>
        <v>59657.535888412734</v>
      </c>
      <c r="H831" s="1233">
        <f t="shared" si="53"/>
        <v>59657.535888412734</v>
      </c>
      <c r="I831" s="743">
        <f t="shared" si="49"/>
        <v>0</v>
      </c>
      <c r="J831" s="743"/>
      <c r="K831" s="869"/>
      <c r="L831" s="749"/>
      <c r="M831" s="869"/>
      <c r="N831" s="749"/>
      <c r="O831" s="749"/>
    </row>
    <row r="832" spans="3:15">
      <c r="C832" s="739">
        <f>IF(D809="","-",+C831+1)</f>
        <v>2030</v>
      </c>
      <c r="D832" s="691">
        <f t="shared" si="48"/>
        <v>355671.5564912277</v>
      </c>
      <c r="E832" s="746">
        <f t="shared" si="50"/>
        <v>16672.104210526315</v>
      </c>
      <c r="F832" s="691">
        <f t="shared" si="51"/>
        <v>338999.45228070137</v>
      </c>
      <c r="G832" s="1230">
        <f t="shared" si="52"/>
        <v>57688.737490952291</v>
      </c>
      <c r="H832" s="1233">
        <f t="shared" si="53"/>
        <v>57688.737490952291</v>
      </c>
      <c r="I832" s="743">
        <f t="shared" si="49"/>
        <v>0</v>
      </c>
      <c r="J832" s="743"/>
      <c r="K832" s="869"/>
      <c r="L832" s="749"/>
      <c r="M832" s="869"/>
      <c r="N832" s="749"/>
      <c r="O832" s="749"/>
    </row>
    <row r="833" spans="3:15">
      <c r="C833" s="739">
        <f>IF(D809="","-",+C832+1)</f>
        <v>2031</v>
      </c>
      <c r="D833" s="691">
        <f t="shared" si="48"/>
        <v>338999.45228070137</v>
      </c>
      <c r="E833" s="746">
        <f t="shared" si="50"/>
        <v>16672.104210526315</v>
      </c>
      <c r="F833" s="691">
        <f t="shared" si="51"/>
        <v>322327.34807017504</v>
      </c>
      <c r="G833" s="1230">
        <f t="shared" si="52"/>
        <v>55719.939093491834</v>
      </c>
      <c r="H833" s="1233">
        <f t="shared" si="53"/>
        <v>55719.939093491834</v>
      </c>
      <c r="I833" s="743">
        <f t="shared" si="49"/>
        <v>0</v>
      </c>
      <c r="J833" s="743"/>
      <c r="K833" s="869"/>
      <c r="L833" s="749"/>
      <c r="M833" s="869"/>
      <c r="N833" s="749"/>
      <c r="O833" s="749"/>
    </row>
    <row r="834" spans="3:15">
      <c r="C834" s="739">
        <f>IF(D809="","-",+C833+1)</f>
        <v>2032</v>
      </c>
      <c r="D834" s="691">
        <f t="shared" si="48"/>
        <v>322327.34807017504</v>
      </c>
      <c r="E834" s="746">
        <f t="shared" si="50"/>
        <v>16672.104210526315</v>
      </c>
      <c r="F834" s="691">
        <f t="shared" si="51"/>
        <v>305655.2438596487</v>
      </c>
      <c r="G834" s="1230">
        <f t="shared" si="52"/>
        <v>53751.140696031391</v>
      </c>
      <c r="H834" s="1233">
        <f t="shared" si="53"/>
        <v>53751.140696031391</v>
      </c>
      <c r="I834" s="743">
        <f t="shared" si="49"/>
        <v>0</v>
      </c>
      <c r="J834" s="743"/>
      <c r="K834" s="869"/>
      <c r="L834" s="749"/>
      <c r="M834" s="869"/>
      <c r="N834" s="749"/>
      <c r="O834" s="749"/>
    </row>
    <row r="835" spans="3:15">
      <c r="C835" s="739">
        <f>IF(D809="","-",+C834+1)</f>
        <v>2033</v>
      </c>
      <c r="D835" s="691">
        <f t="shared" si="48"/>
        <v>305655.2438596487</v>
      </c>
      <c r="E835" s="746">
        <f t="shared" si="50"/>
        <v>16672.104210526315</v>
      </c>
      <c r="F835" s="691">
        <f t="shared" si="51"/>
        <v>288983.13964912237</v>
      </c>
      <c r="G835" s="1230">
        <f t="shared" si="52"/>
        <v>51782.342298570933</v>
      </c>
      <c r="H835" s="1233">
        <f t="shared" si="53"/>
        <v>51782.342298570933</v>
      </c>
      <c r="I835" s="743">
        <f t="shared" si="49"/>
        <v>0</v>
      </c>
      <c r="J835" s="743"/>
      <c r="K835" s="869"/>
      <c r="L835" s="749"/>
      <c r="M835" s="869"/>
      <c r="N835" s="749"/>
      <c r="O835" s="749"/>
    </row>
    <row r="836" spans="3:15">
      <c r="C836" s="739">
        <f>IF(D809="","-",+C835+1)</f>
        <v>2034</v>
      </c>
      <c r="D836" s="691">
        <f t="shared" si="48"/>
        <v>288983.13964912237</v>
      </c>
      <c r="E836" s="746">
        <f t="shared" si="50"/>
        <v>16672.104210526315</v>
      </c>
      <c r="F836" s="691">
        <f t="shared" si="51"/>
        <v>272311.03543859604</v>
      </c>
      <c r="G836" s="1230">
        <f t="shared" si="52"/>
        <v>49813.54390111049</v>
      </c>
      <c r="H836" s="1233">
        <f t="shared" si="53"/>
        <v>49813.54390111049</v>
      </c>
      <c r="I836" s="743">
        <f t="shared" si="49"/>
        <v>0</v>
      </c>
      <c r="J836" s="743"/>
      <c r="K836" s="869"/>
      <c r="L836" s="749"/>
      <c r="M836" s="869"/>
      <c r="N836" s="749"/>
      <c r="O836" s="749"/>
    </row>
    <row r="837" spans="3:15">
      <c r="C837" s="739">
        <f>IF(D809="","-",+C836+1)</f>
        <v>2035</v>
      </c>
      <c r="D837" s="691">
        <f t="shared" si="48"/>
        <v>272311.03543859604</v>
      </c>
      <c r="E837" s="746">
        <f t="shared" si="50"/>
        <v>16672.104210526315</v>
      </c>
      <c r="F837" s="691">
        <f t="shared" si="51"/>
        <v>255638.93122806973</v>
      </c>
      <c r="G837" s="1230">
        <f t="shared" si="52"/>
        <v>47844.745503650032</v>
      </c>
      <c r="H837" s="1233">
        <f t="shared" si="53"/>
        <v>47844.745503650032</v>
      </c>
      <c r="I837" s="743">
        <f t="shared" si="49"/>
        <v>0</v>
      </c>
      <c r="J837" s="743"/>
      <c r="K837" s="869"/>
      <c r="L837" s="749"/>
      <c r="M837" s="869"/>
      <c r="N837" s="749"/>
      <c r="O837" s="749"/>
    </row>
    <row r="838" spans="3:15">
      <c r="C838" s="739">
        <f>IF(D809="","-",+C837+1)</f>
        <v>2036</v>
      </c>
      <c r="D838" s="691">
        <f t="shared" si="48"/>
        <v>255638.93122806973</v>
      </c>
      <c r="E838" s="746">
        <f t="shared" si="50"/>
        <v>16672.104210526315</v>
      </c>
      <c r="F838" s="691">
        <f t="shared" si="51"/>
        <v>238966.82701754343</v>
      </c>
      <c r="G838" s="1230">
        <f t="shared" si="52"/>
        <v>45875.947106189589</v>
      </c>
      <c r="H838" s="1233">
        <f t="shared" si="53"/>
        <v>45875.947106189589</v>
      </c>
      <c r="I838" s="743">
        <f t="shared" si="49"/>
        <v>0</v>
      </c>
      <c r="J838" s="743"/>
      <c r="K838" s="869"/>
      <c r="L838" s="749"/>
      <c r="M838" s="869"/>
      <c r="N838" s="749"/>
      <c r="O838" s="749"/>
    </row>
    <row r="839" spans="3:15">
      <c r="C839" s="739">
        <f>IF(D809="","-",+C838+1)</f>
        <v>2037</v>
      </c>
      <c r="D839" s="691">
        <f t="shared" si="48"/>
        <v>238966.82701754343</v>
      </c>
      <c r="E839" s="746">
        <f t="shared" si="50"/>
        <v>16672.104210526315</v>
      </c>
      <c r="F839" s="691">
        <f t="shared" si="51"/>
        <v>222294.72280701713</v>
      </c>
      <c r="G839" s="1230">
        <f t="shared" si="52"/>
        <v>43907.148708729139</v>
      </c>
      <c r="H839" s="1233">
        <f t="shared" si="53"/>
        <v>43907.148708729139</v>
      </c>
      <c r="I839" s="743">
        <f t="shared" si="49"/>
        <v>0</v>
      </c>
      <c r="J839" s="743"/>
      <c r="K839" s="869"/>
      <c r="L839" s="749"/>
      <c r="M839" s="869"/>
      <c r="N839" s="749"/>
      <c r="O839" s="749"/>
    </row>
    <row r="840" spans="3:15">
      <c r="C840" s="739">
        <f>IF(D809="","-",+C839+1)</f>
        <v>2038</v>
      </c>
      <c r="D840" s="691">
        <f t="shared" si="48"/>
        <v>222294.72280701713</v>
      </c>
      <c r="E840" s="746">
        <f t="shared" si="50"/>
        <v>16672.104210526315</v>
      </c>
      <c r="F840" s="691">
        <f t="shared" si="51"/>
        <v>205622.61859649082</v>
      </c>
      <c r="G840" s="1230">
        <f t="shared" si="52"/>
        <v>41938.350311268696</v>
      </c>
      <c r="H840" s="1233">
        <f t="shared" si="53"/>
        <v>41938.350311268696</v>
      </c>
      <c r="I840" s="743">
        <f t="shared" si="49"/>
        <v>0</v>
      </c>
      <c r="J840" s="743"/>
      <c r="K840" s="869"/>
      <c r="L840" s="749"/>
      <c r="M840" s="869"/>
      <c r="N840" s="749"/>
      <c r="O840" s="749"/>
    </row>
    <row r="841" spans="3:15">
      <c r="C841" s="739">
        <f>IF(D809="","-",+C840+1)</f>
        <v>2039</v>
      </c>
      <c r="D841" s="691">
        <f t="shared" si="48"/>
        <v>205622.61859649082</v>
      </c>
      <c r="E841" s="746">
        <f t="shared" si="50"/>
        <v>16672.104210526315</v>
      </c>
      <c r="F841" s="691">
        <f t="shared" si="51"/>
        <v>188950.51438596452</v>
      </c>
      <c r="G841" s="1230">
        <f t="shared" si="52"/>
        <v>39969.551913808245</v>
      </c>
      <c r="H841" s="1233">
        <f t="shared" si="53"/>
        <v>39969.551913808245</v>
      </c>
      <c r="I841" s="743">
        <f t="shared" si="49"/>
        <v>0</v>
      </c>
      <c r="J841" s="743"/>
      <c r="K841" s="869"/>
      <c r="L841" s="749"/>
      <c r="M841" s="869"/>
      <c r="N841" s="749"/>
      <c r="O841" s="749"/>
    </row>
    <row r="842" spans="3:15">
      <c r="C842" s="739">
        <f>IF(D809="","-",+C841+1)</f>
        <v>2040</v>
      </c>
      <c r="D842" s="691">
        <f t="shared" si="48"/>
        <v>188950.51438596452</v>
      </c>
      <c r="E842" s="746">
        <f t="shared" si="50"/>
        <v>16672.104210526315</v>
      </c>
      <c r="F842" s="691">
        <f t="shared" si="51"/>
        <v>172278.41017543821</v>
      </c>
      <c r="G842" s="1230">
        <f t="shared" si="52"/>
        <v>38000.753516347802</v>
      </c>
      <c r="H842" s="1233">
        <f t="shared" si="53"/>
        <v>38000.753516347802</v>
      </c>
      <c r="I842" s="743">
        <f t="shared" si="49"/>
        <v>0</v>
      </c>
      <c r="J842" s="743"/>
      <c r="K842" s="869"/>
      <c r="L842" s="749"/>
      <c r="M842" s="869"/>
      <c r="N842" s="749"/>
      <c r="O842" s="749"/>
    </row>
    <row r="843" spans="3:15">
      <c r="C843" s="739">
        <f>IF(D809="","-",+C842+1)</f>
        <v>2041</v>
      </c>
      <c r="D843" s="691">
        <f t="shared" si="48"/>
        <v>172278.41017543821</v>
      </c>
      <c r="E843" s="746">
        <f t="shared" si="50"/>
        <v>16672.104210526315</v>
      </c>
      <c r="F843" s="691">
        <f t="shared" si="51"/>
        <v>155606.30596491191</v>
      </c>
      <c r="G843" s="1230">
        <f t="shared" si="52"/>
        <v>36031.955118887345</v>
      </c>
      <c r="H843" s="1233">
        <f t="shared" si="53"/>
        <v>36031.955118887345</v>
      </c>
      <c r="I843" s="743">
        <f t="shared" si="49"/>
        <v>0</v>
      </c>
      <c r="J843" s="743"/>
      <c r="K843" s="869"/>
      <c r="L843" s="749"/>
      <c r="M843" s="869"/>
      <c r="N843" s="749"/>
      <c r="O843" s="749"/>
    </row>
    <row r="844" spans="3:15">
      <c r="C844" s="739">
        <f>IF(D809="","-",+C843+1)</f>
        <v>2042</v>
      </c>
      <c r="D844" s="691">
        <f t="shared" si="48"/>
        <v>155606.30596491191</v>
      </c>
      <c r="E844" s="746">
        <f t="shared" si="50"/>
        <v>16672.104210526315</v>
      </c>
      <c r="F844" s="691">
        <f t="shared" si="51"/>
        <v>138934.20175438561</v>
      </c>
      <c r="G844" s="1230">
        <f t="shared" si="52"/>
        <v>34063.156721426902</v>
      </c>
      <c r="H844" s="1233">
        <f t="shared" si="53"/>
        <v>34063.156721426902</v>
      </c>
      <c r="I844" s="743">
        <f t="shared" si="49"/>
        <v>0</v>
      </c>
      <c r="J844" s="743"/>
      <c r="K844" s="869"/>
      <c r="L844" s="749"/>
      <c r="M844" s="869"/>
      <c r="N844" s="749"/>
      <c r="O844" s="749"/>
    </row>
    <row r="845" spans="3:15">
      <c r="C845" s="739">
        <f>IF(D809="","-",+C844+1)</f>
        <v>2043</v>
      </c>
      <c r="D845" s="691">
        <f t="shared" si="48"/>
        <v>138934.20175438561</v>
      </c>
      <c r="E845" s="746">
        <f t="shared" si="50"/>
        <v>16672.104210526315</v>
      </c>
      <c r="F845" s="691">
        <f t="shared" si="51"/>
        <v>122262.09754385929</v>
      </c>
      <c r="G845" s="1230">
        <f t="shared" si="52"/>
        <v>32094.358323966455</v>
      </c>
      <c r="H845" s="1233">
        <f t="shared" si="53"/>
        <v>32094.358323966455</v>
      </c>
      <c r="I845" s="743">
        <f t="shared" si="49"/>
        <v>0</v>
      </c>
      <c r="J845" s="743"/>
      <c r="K845" s="869"/>
      <c r="L845" s="749"/>
      <c r="M845" s="869"/>
      <c r="N845" s="749"/>
      <c r="O845" s="749"/>
    </row>
    <row r="846" spans="3:15">
      <c r="C846" s="739">
        <f>IF(D809="","-",+C845+1)</f>
        <v>2044</v>
      </c>
      <c r="D846" s="691">
        <f t="shared" si="48"/>
        <v>122262.09754385929</v>
      </c>
      <c r="E846" s="746">
        <f t="shared" si="50"/>
        <v>16672.104210526315</v>
      </c>
      <c r="F846" s="691">
        <f t="shared" si="51"/>
        <v>105589.99333333297</v>
      </c>
      <c r="G846" s="1230">
        <f t="shared" si="52"/>
        <v>30125.559926506008</v>
      </c>
      <c r="H846" s="1233">
        <f t="shared" si="53"/>
        <v>30125.559926506008</v>
      </c>
      <c r="I846" s="743">
        <f t="shared" si="49"/>
        <v>0</v>
      </c>
      <c r="J846" s="743"/>
      <c r="K846" s="869"/>
      <c r="L846" s="749"/>
      <c r="M846" s="869"/>
      <c r="N846" s="749"/>
      <c r="O846" s="749"/>
    </row>
    <row r="847" spans="3:15">
      <c r="C847" s="739">
        <f>IF(D809="","-",+C846+1)</f>
        <v>2045</v>
      </c>
      <c r="D847" s="691">
        <f t="shared" si="48"/>
        <v>105589.99333333297</v>
      </c>
      <c r="E847" s="746">
        <f t="shared" si="50"/>
        <v>16672.104210526315</v>
      </c>
      <c r="F847" s="691">
        <f t="shared" si="51"/>
        <v>88917.88912280665</v>
      </c>
      <c r="G847" s="1230">
        <f t="shared" si="52"/>
        <v>28156.761529045558</v>
      </c>
      <c r="H847" s="1233">
        <f t="shared" si="53"/>
        <v>28156.761529045558</v>
      </c>
      <c r="I847" s="743">
        <f t="shared" si="49"/>
        <v>0</v>
      </c>
      <c r="J847" s="743"/>
      <c r="K847" s="869"/>
      <c r="L847" s="749"/>
      <c r="M847" s="869"/>
      <c r="N847" s="749"/>
      <c r="O847" s="749"/>
    </row>
    <row r="848" spans="3:15">
      <c r="C848" s="739">
        <f>IF(D809="","-",+C847+1)</f>
        <v>2046</v>
      </c>
      <c r="D848" s="691">
        <f t="shared" si="48"/>
        <v>88917.88912280665</v>
      </c>
      <c r="E848" s="746">
        <f t="shared" si="50"/>
        <v>16672.104210526315</v>
      </c>
      <c r="F848" s="691">
        <f t="shared" si="51"/>
        <v>72245.784912280331</v>
      </c>
      <c r="G848" s="1230">
        <f t="shared" si="52"/>
        <v>26187.963131585107</v>
      </c>
      <c r="H848" s="1233">
        <f t="shared" si="53"/>
        <v>26187.963131585107</v>
      </c>
      <c r="I848" s="743">
        <f t="shared" si="49"/>
        <v>0</v>
      </c>
      <c r="J848" s="743"/>
      <c r="K848" s="869"/>
      <c r="L848" s="749"/>
      <c r="M848" s="869"/>
      <c r="N848" s="749"/>
      <c r="O848" s="749"/>
    </row>
    <row r="849" spans="3:15">
      <c r="C849" s="739">
        <f>IF(D809="","-",+C848+1)</f>
        <v>2047</v>
      </c>
      <c r="D849" s="691">
        <f t="shared" si="48"/>
        <v>72245.784912280331</v>
      </c>
      <c r="E849" s="746">
        <f t="shared" si="50"/>
        <v>16672.104210526315</v>
      </c>
      <c r="F849" s="691">
        <f t="shared" si="51"/>
        <v>55573.680701754012</v>
      </c>
      <c r="G849" s="1230">
        <f t="shared" si="52"/>
        <v>24219.164734124657</v>
      </c>
      <c r="H849" s="1233">
        <f t="shared" si="53"/>
        <v>24219.164734124657</v>
      </c>
      <c r="I849" s="743">
        <f t="shared" si="49"/>
        <v>0</v>
      </c>
      <c r="J849" s="743"/>
      <c r="K849" s="869"/>
      <c r="L849" s="749"/>
      <c r="M849" s="869"/>
      <c r="N849" s="749"/>
      <c r="O849" s="749"/>
    </row>
    <row r="850" spans="3:15">
      <c r="C850" s="739">
        <f>IF(D809="","-",+C849+1)</f>
        <v>2048</v>
      </c>
      <c r="D850" s="691">
        <f t="shared" si="48"/>
        <v>55573.680701754012</v>
      </c>
      <c r="E850" s="746">
        <f t="shared" si="50"/>
        <v>16672.104210526315</v>
      </c>
      <c r="F850" s="691">
        <f t="shared" si="51"/>
        <v>38901.576491227694</v>
      </c>
      <c r="G850" s="1230">
        <f t="shared" si="52"/>
        <v>22250.36633666421</v>
      </c>
      <c r="H850" s="1233">
        <f t="shared" si="53"/>
        <v>22250.36633666421</v>
      </c>
      <c r="I850" s="743">
        <f t="shared" si="49"/>
        <v>0</v>
      </c>
      <c r="J850" s="743"/>
      <c r="K850" s="869"/>
      <c r="L850" s="749"/>
      <c r="M850" s="869"/>
      <c r="N850" s="749"/>
      <c r="O850" s="749"/>
    </row>
    <row r="851" spans="3:15">
      <c r="C851" s="739">
        <f>IF(D809="","-",+C850+1)</f>
        <v>2049</v>
      </c>
      <c r="D851" s="691">
        <f t="shared" si="48"/>
        <v>38901.576491227694</v>
      </c>
      <c r="E851" s="746">
        <f t="shared" si="50"/>
        <v>16672.104210526315</v>
      </c>
      <c r="F851" s="691">
        <f t="shared" si="51"/>
        <v>22229.472280701379</v>
      </c>
      <c r="G851" s="1230">
        <f t="shared" si="52"/>
        <v>20281.56793920376</v>
      </c>
      <c r="H851" s="1233">
        <f t="shared" si="53"/>
        <v>20281.56793920376</v>
      </c>
      <c r="I851" s="743">
        <f t="shared" si="49"/>
        <v>0</v>
      </c>
      <c r="J851" s="743"/>
      <c r="K851" s="869"/>
      <c r="L851" s="749"/>
      <c r="M851" s="869"/>
      <c r="N851" s="749"/>
      <c r="O851" s="749"/>
    </row>
    <row r="852" spans="3:15">
      <c r="C852" s="739">
        <f>IF(D809="","-",+C851+1)</f>
        <v>2050</v>
      </c>
      <c r="D852" s="691">
        <f t="shared" si="48"/>
        <v>22229.472280701379</v>
      </c>
      <c r="E852" s="746">
        <f t="shared" si="50"/>
        <v>16672.104210526315</v>
      </c>
      <c r="F852" s="691">
        <f t="shared" si="51"/>
        <v>5557.3680701750636</v>
      </c>
      <c r="G852" s="1230">
        <f t="shared" si="52"/>
        <v>18312.769541743313</v>
      </c>
      <c r="H852" s="1233">
        <f t="shared" si="53"/>
        <v>18312.769541743313</v>
      </c>
      <c r="I852" s="743">
        <f t="shared" si="49"/>
        <v>0</v>
      </c>
      <c r="J852" s="743"/>
      <c r="K852" s="869"/>
      <c r="L852" s="749"/>
      <c r="M852" s="869"/>
      <c r="N852" s="749"/>
      <c r="O852" s="749"/>
    </row>
    <row r="853" spans="3:15">
      <c r="C853" s="739">
        <f>IF(D809="","-",+C852+1)</f>
        <v>2051</v>
      </c>
      <c r="D853" s="691">
        <f t="shared" si="48"/>
        <v>5557.3680701750636</v>
      </c>
      <c r="E853" s="746">
        <f t="shared" si="50"/>
        <v>5557.3680701750636</v>
      </c>
      <c r="F853" s="691">
        <f t="shared" si="51"/>
        <v>0</v>
      </c>
      <c r="G853" s="1230">
        <f t="shared" si="52"/>
        <v>5885.5011364184493</v>
      </c>
      <c r="H853" s="1233">
        <f t="shared" si="53"/>
        <v>5885.5011364184493</v>
      </c>
      <c r="I853" s="743">
        <f t="shared" si="49"/>
        <v>0</v>
      </c>
      <c r="J853" s="743"/>
      <c r="K853" s="869"/>
      <c r="L853" s="749"/>
      <c r="M853" s="869"/>
      <c r="N853" s="749"/>
      <c r="O853" s="749"/>
    </row>
    <row r="854" spans="3:15">
      <c r="C854" s="739">
        <f>IF(D809="","-",+C853+1)</f>
        <v>2052</v>
      </c>
      <c r="D854" s="691">
        <f t="shared" si="48"/>
        <v>0</v>
      </c>
      <c r="E854" s="746">
        <f t="shared" si="50"/>
        <v>0</v>
      </c>
      <c r="F854" s="691">
        <f t="shared" si="51"/>
        <v>0</v>
      </c>
      <c r="G854" s="1230">
        <f t="shared" si="52"/>
        <v>0</v>
      </c>
      <c r="H854" s="1233">
        <f t="shared" si="53"/>
        <v>0</v>
      </c>
      <c r="I854" s="743">
        <f t="shared" si="49"/>
        <v>0</v>
      </c>
      <c r="J854" s="743"/>
      <c r="K854" s="869"/>
      <c r="L854" s="749"/>
      <c r="M854" s="869"/>
      <c r="N854" s="749"/>
      <c r="O854" s="749"/>
    </row>
    <row r="855" spans="3:15">
      <c r="C855" s="739">
        <f>IF(D809="","-",+C854+1)</f>
        <v>2053</v>
      </c>
      <c r="D855" s="691">
        <f t="shared" si="48"/>
        <v>0</v>
      </c>
      <c r="E855" s="746">
        <f t="shared" si="50"/>
        <v>0</v>
      </c>
      <c r="F855" s="691">
        <f t="shared" si="51"/>
        <v>0</v>
      </c>
      <c r="G855" s="1230">
        <f t="shared" si="52"/>
        <v>0</v>
      </c>
      <c r="H855" s="1233">
        <f t="shared" si="53"/>
        <v>0</v>
      </c>
      <c r="I855" s="743">
        <f t="shared" si="49"/>
        <v>0</v>
      </c>
      <c r="J855" s="743"/>
      <c r="K855" s="869"/>
      <c r="L855" s="749"/>
      <c r="M855" s="869"/>
      <c r="N855" s="749"/>
      <c r="O855" s="749"/>
    </row>
    <row r="856" spans="3:15">
      <c r="C856" s="739">
        <f>IF(D809="","-",+C855+1)</f>
        <v>2054</v>
      </c>
      <c r="D856" s="691">
        <f t="shared" si="48"/>
        <v>0</v>
      </c>
      <c r="E856" s="746">
        <f t="shared" si="50"/>
        <v>0</v>
      </c>
      <c r="F856" s="691">
        <f t="shared" si="51"/>
        <v>0</v>
      </c>
      <c r="G856" s="1230">
        <f t="shared" si="52"/>
        <v>0</v>
      </c>
      <c r="H856" s="1233">
        <f t="shared" si="53"/>
        <v>0</v>
      </c>
      <c r="I856" s="743">
        <f t="shared" si="49"/>
        <v>0</v>
      </c>
      <c r="J856" s="743"/>
      <c r="K856" s="869"/>
      <c r="L856" s="749"/>
      <c r="M856" s="869"/>
      <c r="N856" s="749"/>
      <c r="O856" s="749"/>
    </row>
    <row r="857" spans="3:15">
      <c r="C857" s="739">
        <f>IF(D809="","-",+C856+1)</f>
        <v>2055</v>
      </c>
      <c r="D857" s="691">
        <f t="shared" si="48"/>
        <v>0</v>
      </c>
      <c r="E857" s="746">
        <f t="shared" si="50"/>
        <v>0</v>
      </c>
      <c r="F857" s="691">
        <f t="shared" si="51"/>
        <v>0</v>
      </c>
      <c r="G857" s="1230">
        <f t="shared" si="52"/>
        <v>0</v>
      </c>
      <c r="H857" s="1233">
        <f t="shared" si="53"/>
        <v>0</v>
      </c>
      <c r="I857" s="743">
        <f t="shared" si="49"/>
        <v>0</v>
      </c>
      <c r="J857" s="743"/>
      <c r="K857" s="869"/>
      <c r="L857" s="749"/>
      <c r="M857" s="869"/>
      <c r="N857" s="749"/>
      <c r="O857" s="749"/>
    </row>
    <row r="858" spans="3:15">
      <c r="C858" s="739">
        <f>IF(D809="","-",+C857+1)</f>
        <v>2056</v>
      </c>
      <c r="D858" s="691">
        <f t="shared" si="48"/>
        <v>0</v>
      </c>
      <c r="E858" s="746">
        <f t="shared" si="50"/>
        <v>0</v>
      </c>
      <c r="F858" s="691">
        <f t="shared" si="51"/>
        <v>0</v>
      </c>
      <c r="G858" s="1230">
        <f t="shared" si="52"/>
        <v>0</v>
      </c>
      <c r="H858" s="1233">
        <f t="shared" si="53"/>
        <v>0</v>
      </c>
      <c r="I858" s="743">
        <f t="shared" si="49"/>
        <v>0</v>
      </c>
      <c r="J858" s="743"/>
      <c r="K858" s="869"/>
      <c r="L858" s="749"/>
      <c r="M858" s="869"/>
      <c r="N858" s="749"/>
      <c r="O858" s="749"/>
    </row>
    <row r="859" spans="3:15">
      <c r="C859" s="739">
        <f>IF(D809="","-",+C858+1)</f>
        <v>2057</v>
      </c>
      <c r="D859" s="691">
        <f t="shared" si="48"/>
        <v>0</v>
      </c>
      <c r="E859" s="746">
        <f t="shared" si="50"/>
        <v>0</v>
      </c>
      <c r="F859" s="691">
        <f t="shared" si="51"/>
        <v>0</v>
      </c>
      <c r="G859" s="1230">
        <f t="shared" si="52"/>
        <v>0</v>
      </c>
      <c r="H859" s="1233">
        <f t="shared" si="53"/>
        <v>0</v>
      </c>
      <c r="I859" s="743">
        <f t="shared" si="49"/>
        <v>0</v>
      </c>
      <c r="J859" s="743"/>
      <c r="K859" s="869"/>
      <c r="L859" s="749"/>
      <c r="M859" s="869"/>
      <c r="N859" s="749"/>
      <c r="O859" s="749"/>
    </row>
    <row r="860" spans="3:15">
      <c r="C860" s="739">
        <f>IF(D809="","-",+C859+1)</f>
        <v>2058</v>
      </c>
      <c r="D860" s="691">
        <f t="shared" si="48"/>
        <v>0</v>
      </c>
      <c r="E860" s="746">
        <f t="shared" si="50"/>
        <v>0</v>
      </c>
      <c r="F860" s="691">
        <f t="shared" si="51"/>
        <v>0</v>
      </c>
      <c r="G860" s="1230">
        <f t="shared" si="52"/>
        <v>0</v>
      </c>
      <c r="H860" s="1233">
        <f t="shared" si="53"/>
        <v>0</v>
      </c>
      <c r="I860" s="743">
        <f t="shared" si="49"/>
        <v>0</v>
      </c>
      <c r="J860" s="743"/>
      <c r="K860" s="869"/>
      <c r="L860" s="749"/>
      <c r="M860" s="869"/>
      <c r="N860" s="749"/>
      <c r="O860" s="749"/>
    </row>
    <row r="861" spans="3:15">
      <c r="C861" s="739">
        <f>IF(D809="","-",+C860+1)</f>
        <v>2059</v>
      </c>
      <c r="D861" s="691">
        <f t="shared" si="48"/>
        <v>0</v>
      </c>
      <c r="E861" s="746">
        <f t="shared" si="50"/>
        <v>0</v>
      </c>
      <c r="F861" s="691">
        <f t="shared" si="51"/>
        <v>0</v>
      </c>
      <c r="G861" s="1230">
        <f t="shared" si="52"/>
        <v>0</v>
      </c>
      <c r="H861" s="1233">
        <f t="shared" si="53"/>
        <v>0</v>
      </c>
      <c r="I861" s="743">
        <f t="shared" si="49"/>
        <v>0</v>
      </c>
      <c r="J861" s="743"/>
      <c r="K861" s="869"/>
      <c r="L861" s="749"/>
      <c r="M861" s="869"/>
      <c r="N861" s="749"/>
      <c r="O861" s="749"/>
    </row>
    <row r="862" spans="3:15">
      <c r="C862" s="739">
        <f>IF(D809="","-",+C861+1)</f>
        <v>2060</v>
      </c>
      <c r="D862" s="691">
        <f t="shared" si="48"/>
        <v>0</v>
      </c>
      <c r="E862" s="746">
        <f t="shared" si="50"/>
        <v>0</v>
      </c>
      <c r="F862" s="691">
        <f t="shared" si="51"/>
        <v>0</v>
      </c>
      <c r="G862" s="1230">
        <f t="shared" si="52"/>
        <v>0</v>
      </c>
      <c r="H862" s="1233">
        <f t="shared" si="53"/>
        <v>0</v>
      </c>
      <c r="I862" s="743">
        <f t="shared" si="49"/>
        <v>0</v>
      </c>
      <c r="J862" s="743"/>
      <c r="K862" s="869"/>
      <c r="L862" s="749"/>
      <c r="M862" s="869"/>
      <c r="N862" s="749"/>
      <c r="O862" s="749"/>
    </row>
    <row r="863" spans="3:15">
      <c r="C863" s="739">
        <f>IF(D809="","-",+C862+1)</f>
        <v>2061</v>
      </c>
      <c r="D863" s="691">
        <f t="shared" si="48"/>
        <v>0</v>
      </c>
      <c r="E863" s="746">
        <f t="shared" si="50"/>
        <v>0</v>
      </c>
      <c r="F863" s="691">
        <f t="shared" si="51"/>
        <v>0</v>
      </c>
      <c r="G863" s="1230">
        <f t="shared" si="52"/>
        <v>0</v>
      </c>
      <c r="H863" s="1233">
        <f t="shared" si="53"/>
        <v>0</v>
      </c>
      <c r="I863" s="743">
        <f t="shared" si="49"/>
        <v>0</v>
      </c>
      <c r="J863" s="743"/>
      <c r="K863" s="869"/>
      <c r="L863" s="749"/>
      <c r="M863" s="869"/>
      <c r="N863" s="749"/>
      <c r="O863" s="749"/>
    </row>
    <row r="864" spans="3:15">
      <c r="C864" s="739">
        <f>IF(D809="","-",+C863+1)</f>
        <v>2062</v>
      </c>
      <c r="D864" s="691">
        <f t="shared" si="48"/>
        <v>0</v>
      </c>
      <c r="E864" s="746">
        <f t="shared" si="50"/>
        <v>0</v>
      </c>
      <c r="F864" s="691">
        <f t="shared" si="51"/>
        <v>0</v>
      </c>
      <c r="G864" s="1230">
        <f t="shared" si="52"/>
        <v>0</v>
      </c>
      <c r="H864" s="1233">
        <f t="shared" si="53"/>
        <v>0</v>
      </c>
      <c r="I864" s="743">
        <f t="shared" si="49"/>
        <v>0</v>
      </c>
      <c r="J864" s="743"/>
      <c r="K864" s="869"/>
      <c r="L864" s="749"/>
      <c r="M864" s="869"/>
      <c r="N864" s="749"/>
      <c r="O864" s="749"/>
    </row>
    <row r="865" spans="3:15">
      <c r="C865" s="739">
        <f>IF(D809="","-",+C864+1)</f>
        <v>2063</v>
      </c>
      <c r="D865" s="691">
        <f t="shared" si="48"/>
        <v>0</v>
      </c>
      <c r="E865" s="746">
        <f t="shared" si="50"/>
        <v>0</v>
      </c>
      <c r="F865" s="691">
        <f t="shared" si="51"/>
        <v>0</v>
      </c>
      <c r="G865" s="1230">
        <f t="shared" si="52"/>
        <v>0</v>
      </c>
      <c r="H865" s="1233">
        <f t="shared" si="53"/>
        <v>0</v>
      </c>
      <c r="I865" s="743">
        <f t="shared" si="49"/>
        <v>0</v>
      </c>
      <c r="J865" s="743"/>
      <c r="K865" s="869"/>
      <c r="L865" s="749"/>
      <c r="M865" s="869"/>
      <c r="N865" s="749"/>
      <c r="O865" s="749"/>
    </row>
    <row r="866" spans="3:15">
      <c r="C866" s="739">
        <f>IF(D809="","-",+C865+1)</f>
        <v>2064</v>
      </c>
      <c r="D866" s="691">
        <f t="shared" si="48"/>
        <v>0</v>
      </c>
      <c r="E866" s="746">
        <f t="shared" si="50"/>
        <v>0</v>
      </c>
      <c r="F866" s="691">
        <f t="shared" si="51"/>
        <v>0</v>
      </c>
      <c r="G866" s="1230">
        <f t="shared" si="52"/>
        <v>0</v>
      </c>
      <c r="H866" s="1233">
        <f t="shared" si="53"/>
        <v>0</v>
      </c>
      <c r="I866" s="743">
        <f t="shared" si="49"/>
        <v>0</v>
      </c>
      <c r="J866" s="743"/>
      <c r="K866" s="869"/>
      <c r="L866" s="749"/>
      <c r="M866" s="869"/>
      <c r="N866" s="749"/>
      <c r="O866" s="749"/>
    </row>
    <row r="867" spans="3:15">
      <c r="C867" s="739">
        <f>IF(D809="","-",+C866+1)</f>
        <v>2065</v>
      </c>
      <c r="D867" s="691">
        <f t="shared" si="48"/>
        <v>0</v>
      </c>
      <c r="E867" s="746">
        <f t="shared" si="50"/>
        <v>0</v>
      </c>
      <c r="F867" s="691">
        <f t="shared" si="51"/>
        <v>0</v>
      </c>
      <c r="G867" s="1230">
        <f t="shared" si="52"/>
        <v>0</v>
      </c>
      <c r="H867" s="1233">
        <f t="shared" si="53"/>
        <v>0</v>
      </c>
      <c r="I867" s="743">
        <f t="shared" si="49"/>
        <v>0</v>
      </c>
      <c r="J867" s="743"/>
      <c r="K867" s="869"/>
      <c r="L867" s="749"/>
      <c r="M867" s="869"/>
      <c r="N867" s="749"/>
      <c r="O867" s="749"/>
    </row>
    <row r="868" spans="3:15">
      <c r="C868" s="739">
        <f>IF(D809="","-",+C867+1)</f>
        <v>2066</v>
      </c>
      <c r="D868" s="691">
        <f t="shared" si="48"/>
        <v>0</v>
      </c>
      <c r="E868" s="746">
        <f t="shared" si="50"/>
        <v>0</v>
      </c>
      <c r="F868" s="691">
        <f t="shared" si="51"/>
        <v>0</v>
      </c>
      <c r="G868" s="1230">
        <f t="shared" si="52"/>
        <v>0</v>
      </c>
      <c r="H868" s="1233">
        <f t="shared" si="53"/>
        <v>0</v>
      </c>
      <c r="I868" s="743">
        <f t="shared" si="49"/>
        <v>0</v>
      </c>
      <c r="J868" s="743"/>
      <c r="K868" s="869"/>
      <c r="L868" s="749"/>
      <c r="M868" s="869"/>
      <c r="N868" s="749"/>
      <c r="O868" s="749"/>
    </row>
    <row r="869" spans="3:15">
      <c r="C869" s="739">
        <f>IF(D809="","-",+C868+1)</f>
        <v>2067</v>
      </c>
      <c r="D869" s="691">
        <f t="shared" si="48"/>
        <v>0</v>
      </c>
      <c r="E869" s="746">
        <f t="shared" si="50"/>
        <v>0</v>
      </c>
      <c r="F869" s="691">
        <f t="shared" si="51"/>
        <v>0</v>
      </c>
      <c r="G869" s="1230">
        <f t="shared" si="52"/>
        <v>0</v>
      </c>
      <c r="H869" s="1233">
        <f t="shared" si="53"/>
        <v>0</v>
      </c>
      <c r="I869" s="743">
        <f t="shared" si="49"/>
        <v>0</v>
      </c>
      <c r="J869" s="743"/>
      <c r="K869" s="869"/>
      <c r="L869" s="749"/>
      <c r="M869" s="869"/>
      <c r="N869" s="749"/>
      <c r="O869" s="749"/>
    </row>
    <row r="870" spans="3:15">
      <c r="C870" s="739">
        <f>IF(D809="","-",+C869+1)</f>
        <v>2068</v>
      </c>
      <c r="D870" s="691">
        <f t="shared" si="48"/>
        <v>0</v>
      </c>
      <c r="E870" s="746">
        <f t="shared" si="50"/>
        <v>0</v>
      </c>
      <c r="F870" s="691">
        <f t="shared" si="51"/>
        <v>0</v>
      </c>
      <c r="G870" s="1230">
        <f t="shared" si="52"/>
        <v>0</v>
      </c>
      <c r="H870" s="1233">
        <f t="shared" si="53"/>
        <v>0</v>
      </c>
      <c r="I870" s="743">
        <f t="shared" si="49"/>
        <v>0</v>
      </c>
      <c r="J870" s="743"/>
      <c r="K870" s="869"/>
      <c r="L870" s="749"/>
      <c r="M870" s="869"/>
      <c r="N870" s="749"/>
      <c r="O870" s="749"/>
    </row>
    <row r="871" spans="3:15">
      <c r="C871" s="739">
        <f>IF(D809="","-",+C870+1)</f>
        <v>2069</v>
      </c>
      <c r="D871" s="691">
        <f t="shared" si="48"/>
        <v>0</v>
      </c>
      <c r="E871" s="746">
        <f t="shared" si="50"/>
        <v>0</v>
      </c>
      <c r="F871" s="691">
        <f t="shared" si="51"/>
        <v>0</v>
      </c>
      <c r="G871" s="1230">
        <f t="shared" si="52"/>
        <v>0</v>
      </c>
      <c r="H871" s="1233">
        <f t="shared" si="53"/>
        <v>0</v>
      </c>
      <c r="I871" s="743">
        <f t="shared" si="49"/>
        <v>0</v>
      </c>
      <c r="J871" s="743"/>
      <c r="K871" s="869"/>
      <c r="L871" s="749"/>
      <c r="M871" s="869"/>
      <c r="N871" s="749"/>
      <c r="O871" s="749"/>
    </row>
    <row r="872" spans="3:15">
      <c r="C872" s="739">
        <f>IF(D809="","-",+C871+1)</f>
        <v>2070</v>
      </c>
      <c r="D872" s="691">
        <f t="shared" si="48"/>
        <v>0</v>
      </c>
      <c r="E872" s="746">
        <f t="shared" si="50"/>
        <v>0</v>
      </c>
      <c r="F872" s="691">
        <f t="shared" si="51"/>
        <v>0</v>
      </c>
      <c r="G872" s="1230">
        <f t="shared" si="52"/>
        <v>0</v>
      </c>
      <c r="H872" s="1233">
        <f t="shared" si="53"/>
        <v>0</v>
      </c>
      <c r="I872" s="743">
        <f t="shared" si="49"/>
        <v>0</v>
      </c>
      <c r="J872" s="743"/>
      <c r="K872" s="869"/>
      <c r="L872" s="749"/>
      <c r="M872" s="869"/>
      <c r="N872" s="749"/>
      <c r="O872" s="749"/>
    </row>
    <row r="873" spans="3:15">
      <c r="C873" s="739">
        <f>IF(D809="","-",+C872+1)</f>
        <v>2071</v>
      </c>
      <c r="D873" s="691">
        <f t="shared" si="48"/>
        <v>0</v>
      </c>
      <c r="E873" s="746">
        <f t="shared" si="50"/>
        <v>0</v>
      </c>
      <c r="F873" s="691">
        <f t="shared" si="51"/>
        <v>0</v>
      </c>
      <c r="G873" s="1230">
        <f t="shared" si="52"/>
        <v>0</v>
      </c>
      <c r="H873" s="1233">
        <f t="shared" si="53"/>
        <v>0</v>
      </c>
      <c r="I873" s="743">
        <f t="shared" si="49"/>
        <v>0</v>
      </c>
      <c r="J873" s="743"/>
      <c r="K873" s="869"/>
      <c r="L873" s="749"/>
      <c r="M873" s="869"/>
      <c r="N873" s="749"/>
      <c r="O873" s="749"/>
    </row>
    <row r="874" spans="3:15" ht="13.5" thickBot="1">
      <c r="C874" s="750">
        <f>IF(D809="","-",+C873+1)</f>
        <v>2072</v>
      </c>
      <c r="D874" s="751">
        <f t="shared" si="48"/>
        <v>0</v>
      </c>
      <c r="E874" s="752">
        <f t="shared" si="50"/>
        <v>0</v>
      </c>
      <c r="F874" s="751">
        <f t="shared" si="51"/>
        <v>0</v>
      </c>
      <c r="G874" s="1241">
        <f t="shared" si="52"/>
        <v>0</v>
      </c>
      <c r="H874" s="1220">
        <f t="shared" si="53"/>
        <v>0</v>
      </c>
      <c r="I874" s="754">
        <f t="shared" si="49"/>
        <v>0</v>
      </c>
      <c r="J874" s="743"/>
      <c r="K874" s="870"/>
      <c r="L874" s="756"/>
      <c r="M874" s="870"/>
      <c r="N874" s="756"/>
      <c r="O874" s="756"/>
    </row>
    <row r="875" spans="3:15">
      <c r="C875" s="691" t="s">
        <v>289</v>
      </c>
      <c r="D875" s="1211"/>
      <c r="E875" s="1211">
        <f>SUM(E815:E874)</f>
        <v>633539.95999999985</v>
      </c>
      <c r="F875" s="1211"/>
      <c r="G875" s="1211">
        <f>SUM(G815:G874)</f>
        <v>2079950.5160009409</v>
      </c>
      <c r="H875" s="1211">
        <f>SUM(H815:H874)</f>
        <v>2079950.5160009409</v>
      </c>
      <c r="I875" s="1211">
        <f>SUM(I815:I874)</f>
        <v>0</v>
      </c>
      <c r="J875" s="1211"/>
      <c r="K875" s="1211"/>
      <c r="L875" s="1211"/>
      <c r="M875" s="1211"/>
      <c r="N875" s="1211"/>
      <c r="O875" s="558"/>
    </row>
    <row r="876" spans="3:15">
      <c r="D876" s="581"/>
      <c r="E876" s="558"/>
      <c r="F876" s="558"/>
      <c r="G876" s="558"/>
      <c r="H876" s="1210"/>
      <c r="I876" s="1210"/>
      <c r="J876" s="1211"/>
      <c r="K876" s="1210"/>
      <c r="L876" s="1210"/>
      <c r="M876" s="1210"/>
      <c r="N876" s="1210"/>
      <c r="O876" s="558"/>
    </row>
    <row r="877" spans="3:15">
      <c r="C877" s="1242" t="s">
        <v>926</v>
      </c>
      <c r="D877" s="581"/>
      <c r="E877" s="558"/>
      <c r="F877" s="558"/>
      <c r="G877" s="558"/>
      <c r="H877" s="1210"/>
      <c r="I877" s="1210"/>
      <c r="J877" s="1211"/>
      <c r="K877" s="1210"/>
      <c r="L877" s="1210"/>
      <c r="M877" s="1210"/>
      <c r="N877" s="1210"/>
      <c r="O877" s="558"/>
    </row>
    <row r="878" spans="3:15">
      <c r="D878" s="581"/>
      <c r="E878" s="558"/>
      <c r="F878" s="558"/>
      <c r="G878" s="558"/>
      <c r="H878" s="1210"/>
      <c r="I878" s="1210"/>
      <c r="J878" s="1211"/>
      <c r="K878" s="1210"/>
      <c r="L878" s="1210"/>
      <c r="M878" s="1210"/>
      <c r="N878" s="1210"/>
      <c r="O878" s="558"/>
    </row>
    <row r="879" spans="3:15">
      <c r="C879" s="704" t="s">
        <v>927</v>
      </c>
      <c r="D879" s="691"/>
      <c r="E879" s="691"/>
      <c r="F879" s="691"/>
      <c r="G879" s="1211"/>
      <c r="H879" s="1211"/>
      <c r="I879" s="692"/>
      <c r="J879" s="692"/>
      <c r="K879" s="692"/>
      <c r="L879" s="692"/>
      <c r="M879" s="692"/>
      <c r="N879" s="692"/>
      <c r="O879" s="558"/>
    </row>
    <row r="880" spans="3:15">
      <c r="C880" s="690" t="s">
        <v>477</v>
      </c>
      <c r="D880" s="691"/>
      <c r="E880" s="691"/>
      <c r="F880" s="691"/>
      <c r="G880" s="1211"/>
      <c r="H880" s="1211"/>
      <c r="I880" s="692"/>
      <c r="J880" s="692"/>
      <c r="K880" s="692"/>
      <c r="L880" s="692"/>
      <c r="M880" s="692"/>
      <c r="N880" s="692"/>
      <c r="O880" s="558"/>
    </row>
    <row r="881" spans="1:15">
      <c r="C881" s="690" t="s">
        <v>290</v>
      </c>
      <c r="D881" s="691"/>
      <c r="E881" s="691"/>
      <c r="F881" s="691"/>
      <c r="G881" s="1211"/>
      <c r="H881" s="1211"/>
      <c r="I881" s="692"/>
      <c r="J881" s="692"/>
      <c r="K881" s="692"/>
      <c r="L881" s="692"/>
      <c r="M881" s="692"/>
      <c r="N881" s="692"/>
      <c r="O881" s="558"/>
    </row>
    <row r="882" spans="1:15">
      <c r="C882" s="690"/>
      <c r="D882" s="691"/>
      <c r="E882" s="691"/>
      <c r="F882" s="691"/>
      <c r="G882" s="1211"/>
      <c r="H882" s="1211"/>
      <c r="I882" s="692"/>
      <c r="J882" s="692"/>
      <c r="K882" s="692"/>
      <c r="L882" s="692"/>
      <c r="M882" s="692"/>
      <c r="N882" s="692"/>
      <c r="O882" s="558"/>
    </row>
    <row r="883" spans="1:15">
      <c r="C883" s="1601" t="s">
        <v>461</v>
      </c>
      <c r="D883" s="1601"/>
      <c r="E883" s="1601"/>
      <c r="F883" s="1601"/>
      <c r="G883" s="1601"/>
      <c r="H883" s="1601"/>
      <c r="I883" s="1601"/>
      <c r="J883" s="1601"/>
      <c r="K883" s="1601"/>
      <c r="L883" s="1601"/>
      <c r="M883" s="1601"/>
      <c r="N883" s="1601"/>
      <c r="O883" s="1601"/>
    </row>
    <row r="884" spans="1:15">
      <c r="C884" s="1601"/>
      <c r="D884" s="1601"/>
      <c r="E884" s="1601"/>
      <c r="F884" s="1601"/>
      <c r="G884" s="1601"/>
      <c r="H884" s="1601"/>
      <c r="I884" s="1601"/>
      <c r="J884" s="1601"/>
      <c r="K884" s="1601"/>
      <c r="L884" s="1601"/>
      <c r="M884" s="1601"/>
      <c r="N884" s="1601"/>
      <c r="O884" s="1601"/>
    </row>
    <row r="885" spans="1:15" ht="20.25">
      <c r="A885" s="693" t="s">
        <v>923</v>
      </c>
      <c r="B885" s="594"/>
      <c r="C885" s="673"/>
      <c r="D885" s="581"/>
      <c r="E885" s="558"/>
      <c r="F885" s="663"/>
      <c r="G885" s="558"/>
      <c r="H885" s="1210"/>
      <c r="K885" s="694"/>
      <c r="L885" s="694"/>
      <c r="M885" s="694"/>
      <c r="N885" s="609" t="str">
        <f>"Page "&amp;P885&amp;" of "</f>
        <v xml:space="preserve">Page  of </v>
      </c>
      <c r="O885" s="610">
        <f>COUNT(P$6:P$59527)</f>
        <v>10</v>
      </c>
    </row>
    <row r="886" spans="1:15">
      <c r="B886" s="594"/>
      <c r="C886" s="558"/>
      <c r="D886" s="581"/>
      <c r="E886" s="558"/>
      <c r="F886" s="558"/>
      <c r="G886" s="558"/>
      <c r="H886" s="1210"/>
      <c r="I886" s="558"/>
      <c r="J886" s="606"/>
      <c r="K886" s="558"/>
      <c r="L886" s="558"/>
      <c r="M886" s="558"/>
      <c r="N886" s="558"/>
      <c r="O886" s="558"/>
    </row>
    <row r="887" spans="1:15" ht="18">
      <c r="B887" s="613" t="s">
        <v>175</v>
      </c>
      <c r="C887" s="695" t="s">
        <v>291</v>
      </c>
      <c r="D887" s="581"/>
      <c r="E887" s="558"/>
      <c r="F887" s="558"/>
      <c r="G887" s="558"/>
      <c r="H887" s="1210"/>
      <c r="I887" s="1210"/>
      <c r="J887" s="1211"/>
      <c r="K887" s="1210"/>
      <c r="L887" s="1210"/>
      <c r="M887" s="1210"/>
      <c r="N887" s="1210"/>
      <c r="O887" s="558"/>
    </row>
    <row r="888" spans="1:15" ht="18.75">
      <c r="B888" s="613"/>
      <c r="C888" s="612"/>
      <c r="D888" s="581"/>
      <c r="E888" s="558"/>
      <c r="F888" s="558"/>
      <c r="G888" s="558"/>
      <c r="H888" s="1210"/>
      <c r="I888" s="1210"/>
      <c r="J888" s="1211"/>
      <c r="K888" s="1210"/>
      <c r="L888" s="1210"/>
      <c r="M888" s="1210"/>
      <c r="N888" s="1210"/>
      <c r="O888" s="558"/>
    </row>
    <row r="889" spans="1:15" ht="18.75">
      <c r="B889" s="613"/>
      <c r="C889" s="612" t="s">
        <v>292</v>
      </c>
      <c r="D889" s="581"/>
      <c r="E889" s="558"/>
      <c r="F889" s="558"/>
      <c r="G889" s="558"/>
      <c r="H889" s="1210"/>
      <c r="I889" s="1210"/>
      <c r="J889" s="1211"/>
      <c r="K889" s="1210"/>
      <c r="L889" s="1210"/>
      <c r="M889" s="1210"/>
      <c r="N889" s="1210"/>
      <c r="O889" s="558"/>
    </row>
    <row r="890" spans="1:15" ht="15.75" thickBot="1">
      <c r="C890" s="411"/>
      <c r="D890" s="581"/>
      <c r="E890" s="558"/>
      <c r="F890" s="558"/>
      <c r="G890" s="558"/>
      <c r="H890" s="1210"/>
      <c r="I890" s="1210"/>
      <c r="J890" s="1211"/>
      <c r="K890" s="1210"/>
      <c r="L890" s="1210"/>
      <c r="M890" s="1210"/>
      <c r="N890" s="1210"/>
      <c r="O890" s="558"/>
    </row>
    <row r="891" spans="1:15" ht="15.75">
      <c r="C891" s="614" t="s">
        <v>293</v>
      </c>
      <c r="D891" s="581"/>
      <c r="E891" s="558"/>
      <c r="F891" s="558"/>
      <c r="G891" s="1212"/>
      <c r="H891" s="558" t="s">
        <v>272</v>
      </c>
      <c r="I891" s="558"/>
      <c r="J891" s="606"/>
      <c r="K891" s="696" t="s">
        <v>297</v>
      </c>
      <c r="L891" s="697"/>
      <c r="M891" s="698"/>
      <c r="N891" s="1213">
        <f>VLOOKUP(I897,C904:O963,5)</f>
        <v>1034045.1359791794</v>
      </c>
      <c r="O891" s="558"/>
    </row>
    <row r="892" spans="1:15" ht="15.75">
      <c r="C892" s="614"/>
      <c r="D892" s="581"/>
      <c r="E892" s="558"/>
      <c r="F892" s="558"/>
      <c r="G892" s="558"/>
      <c r="H892" s="1214"/>
      <c r="I892" s="1214"/>
      <c r="J892" s="1215"/>
      <c r="K892" s="701" t="s">
        <v>298</v>
      </c>
      <c r="L892" s="1216"/>
      <c r="M892" s="606"/>
      <c r="N892" s="1217">
        <f>VLOOKUP(I897,C904:O963,6)</f>
        <v>1034045.1359791794</v>
      </c>
      <c r="O892" s="558"/>
    </row>
    <row r="893" spans="1:15" ht="13.5" thickBot="1">
      <c r="C893" s="702" t="s">
        <v>294</v>
      </c>
      <c r="D893" s="1610" t="s">
        <v>1070</v>
      </c>
      <c r="E893" s="1611"/>
      <c r="F893" s="1611"/>
      <c r="G893" s="1611"/>
      <c r="H893" s="1611"/>
      <c r="I893" s="1611"/>
      <c r="J893" s="1211"/>
      <c r="K893" s="1218" t="s">
        <v>451</v>
      </c>
      <c r="L893" s="1219"/>
      <c r="M893" s="1219"/>
      <c r="N893" s="1220">
        <f>+N892-N891</f>
        <v>0</v>
      </c>
      <c r="O893" s="558"/>
    </row>
    <row r="894" spans="1:15">
      <c r="C894" s="704"/>
      <c r="D894" s="1611"/>
      <c r="E894" s="1611"/>
      <c r="F894" s="1611"/>
      <c r="G894" s="1611"/>
      <c r="H894" s="1611"/>
      <c r="I894" s="1611"/>
      <c r="J894" s="1211"/>
      <c r="K894" s="1210"/>
      <c r="L894" s="1210"/>
      <c r="M894" s="1210"/>
      <c r="N894" s="1210"/>
      <c r="O894" s="558"/>
    </row>
    <row r="895" spans="1:15" ht="13.5" thickBot="1">
      <c r="C895" s="707"/>
      <c r="D895" s="708"/>
      <c r="E895" s="706"/>
      <c r="F895" s="706"/>
      <c r="G895" s="706"/>
      <c r="H895" s="706"/>
      <c r="I895" s="706"/>
      <c r="J895" s="1344"/>
      <c r="K895" s="706"/>
      <c r="L895" s="706"/>
      <c r="M895" s="706"/>
      <c r="N895" s="706"/>
      <c r="O895" s="594"/>
    </row>
    <row r="896" spans="1:15" ht="13.5" thickBot="1">
      <c r="C896" s="710" t="s">
        <v>295</v>
      </c>
      <c r="D896" s="711"/>
      <c r="E896" s="711"/>
      <c r="F896" s="711"/>
      <c r="G896" s="711"/>
      <c r="H896" s="711"/>
      <c r="I896" s="712"/>
      <c r="J896" s="713"/>
      <c r="K896" s="558"/>
      <c r="L896" s="558"/>
      <c r="M896" s="558"/>
      <c r="N896" s="558"/>
      <c r="O896" s="714"/>
    </row>
    <row r="897" spans="1:15" ht="15">
      <c r="C897" s="716" t="s">
        <v>273</v>
      </c>
      <c r="D897" s="1221">
        <v>7684389.4200000009</v>
      </c>
      <c r="E897" s="673" t="s">
        <v>274</v>
      </c>
      <c r="G897" s="717"/>
      <c r="H897" s="717"/>
      <c r="I897" s="718">
        <f>I808</f>
        <v>2025</v>
      </c>
      <c r="J897" s="604"/>
      <c r="K897" s="1600" t="s">
        <v>460</v>
      </c>
      <c r="L897" s="1600"/>
      <c r="M897" s="1600"/>
      <c r="N897" s="1600"/>
      <c r="O897" s="1600"/>
    </row>
    <row r="898" spans="1:15">
      <c r="C898" s="716" t="s">
        <v>276</v>
      </c>
      <c r="D898" s="864">
        <v>2022</v>
      </c>
      <c r="E898" s="716" t="s">
        <v>277</v>
      </c>
      <c r="F898" s="717"/>
      <c r="H898" s="345"/>
      <c r="I898" s="867">
        <f>IF(G891="",0,$F$15)</f>
        <v>0</v>
      </c>
      <c r="J898" s="719"/>
      <c r="K898" s="1211" t="s">
        <v>460</v>
      </c>
    </row>
    <row r="899" spans="1:15">
      <c r="C899" s="716" t="s">
        <v>278</v>
      </c>
      <c r="D899" s="1221">
        <v>4</v>
      </c>
      <c r="E899" s="716" t="s">
        <v>279</v>
      </c>
      <c r="F899" s="717"/>
      <c r="H899" s="345"/>
      <c r="I899" s="720">
        <f>$G$70</f>
        <v>0.11808937687765908</v>
      </c>
      <c r="J899" s="721"/>
      <c r="K899" s="345" t="str">
        <f>"          INPUT PROJECTED ARR (WITH &amp; WITHOUT INCENTIVES) FROM EACH PRIOR YEAR"</f>
        <v xml:space="preserve">          INPUT PROJECTED ARR (WITH &amp; WITHOUT INCENTIVES) FROM EACH PRIOR YEAR</v>
      </c>
    </row>
    <row r="900" spans="1:15">
      <c r="C900" s="716" t="s">
        <v>280</v>
      </c>
      <c r="D900" s="722">
        <f>G$79</f>
        <v>38</v>
      </c>
      <c r="E900" s="716" t="s">
        <v>281</v>
      </c>
      <c r="F900" s="717"/>
      <c r="H900" s="345"/>
      <c r="I900" s="720">
        <f>IF(G891="",I899,$G$67)</f>
        <v>0.11808937687765908</v>
      </c>
      <c r="J900" s="723"/>
      <c r="K900" s="345" t="s">
        <v>358</v>
      </c>
    </row>
    <row r="901" spans="1:15" ht="13.5" thickBot="1">
      <c r="C901" s="716" t="s">
        <v>282</v>
      </c>
      <c r="D901" s="866" t="s">
        <v>925</v>
      </c>
      <c r="E901" s="724" t="s">
        <v>283</v>
      </c>
      <c r="F901" s="725"/>
      <c r="G901" s="726"/>
      <c r="H901" s="726"/>
      <c r="I901" s="1220">
        <f>IF(D897=0,0,D897/D900)</f>
        <v>202220.77421052635</v>
      </c>
      <c r="J901" s="1211"/>
      <c r="K901" s="1211" t="s">
        <v>364</v>
      </c>
      <c r="L901" s="1211"/>
      <c r="M901" s="1211"/>
      <c r="N901" s="1211"/>
      <c r="O901" s="606"/>
    </row>
    <row r="902" spans="1:15" ht="51">
      <c r="A902" s="1343"/>
      <c r="B902" s="1222"/>
      <c r="C902" s="727" t="s">
        <v>273</v>
      </c>
      <c r="D902" s="1223" t="s">
        <v>284</v>
      </c>
      <c r="E902" s="1224" t="s">
        <v>285</v>
      </c>
      <c r="F902" s="1223" t="s">
        <v>286</v>
      </c>
      <c r="G902" s="1224" t="s">
        <v>357</v>
      </c>
      <c r="H902" s="1225" t="s">
        <v>357</v>
      </c>
      <c r="I902" s="727" t="s">
        <v>296</v>
      </c>
      <c r="J902" s="731"/>
      <c r="K902" s="1224" t="s">
        <v>366</v>
      </c>
      <c r="L902" s="1226"/>
      <c r="M902" s="1224" t="s">
        <v>366</v>
      </c>
      <c r="N902" s="1226"/>
      <c r="O902" s="1226"/>
    </row>
    <row r="903" spans="1:15" ht="13.5" thickBot="1">
      <c r="C903" s="733" t="s">
        <v>178</v>
      </c>
      <c r="D903" s="734" t="s">
        <v>179</v>
      </c>
      <c r="E903" s="733" t="s">
        <v>38</v>
      </c>
      <c r="F903" s="734" t="s">
        <v>179</v>
      </c>
      <c r="G903" s="1227" t="s">
        <v>299</v>
      </c>
      <c r="H903" s="1228" t="s">
        <v>301</v>
      </c>
      <c r="I903" s="737" t="s">
        <v>390</v>
      </c>
      <c r="J903" s="738"/>
      <c r="K903" s="1227" t="s">
        <v>288</v>
      </c>
      <c r="L903" s="1229"/>
      <c r="M903" s="1227" t="s">
        <v>301</v>
      </c>
      <c r="N903" s="1229"/>
      <c r="O903" s="1229"/>
    </row>
    <row r="904" spans="1:15">
      <c r="C904" s="739">
        <f>IF(D898= "","-",D898)</f>
        <v>2022</v>
      </c>
      <c r="D904" s="691">
        <f>+D897</f>
        <v>7684389.4200000009</v>
      </c>
      <c r="E904" s="1230">
        <f>+I901/12*(12-D899)</f>
        <v>134813.84947368424</v>
      </c>
      <c r="F904" s="691">
        <f>+D904-E904</f>
        <v>7549575.5705263168</v>
      </c>
      <c r="G904" s="1231">
        <f>+$I$810*((D904+F904)/2)+E904</f>
        <v>1034298.5660273475</v>
      </c>
      <c r="H904" s="1232">
        <f>+$I$811*((D904+F904)/2)+E904</f>
        <v>1034298.5660273475</v>
      </c>
      <c r="I904" s="743">
        <f>+H904-G904</f>
        <v>0</v>
      </c>
      <c r="J904" s="743"/>
      <c r="K904" s="869">
        <v>0</v>
      </c>
      <c r="L904" s="745"/>
      <c r="M904" s="869">
        <v>0</v>
      </c>
      <c r="N904" s="745"/>
      <c r="O904" s="745"/>
    </row>
    <row r="905" spans="1:15">
      <c r="C905" s="739">
        <f>IF(D898="","-",+C904+1)</f>
        <v>2023</v>
      </c>
      <c r="D905" s="691">
        <f t="shared" ref="D905:D963" si="54">F904</f>
        <v>7549575.5705263168</v>
      </c>
      <c r="E905" s="746">
        <f>IF(D905&gt;$I$901,$I$901,D905)</f>
        <v>202220.77421052635</v>
      </c>
      <c r="F905" s="691">
        <f>+D905-E905</f>
        <v>7347354.7963157902</v>
      </c>
      <c r="G905" s="1230">
        <f>+$I$810*((D905+F905)/2)+E905</f>
        <v>1081805.3864156571</v>
      </c>
      <c r="H905" s="1233">
        <f>+$I$810*((D905+F905)/2)+E905</f>
        <v>1081805.3864156571</v>
      </c>
      <c r="I905" s="743">
        <f t="shared" ref="I905:I963" si="55">+H905-G905</f>
        <v>0</v>
      </c>
      <c r="J905" s="743"/>
      <c r="K905" s="869">
        <v>573889.83934624365</v>
      </c>
      <c r="L905" s="749"/>
      <c r="M905" s="869">
        <v>573889.83934624365</v>
      </c>
      <c r="N905" s="749"/>
      <c r="O905" s="749"/>
    </row>
    <row r="906" spans="1:15">
      <c r="C906" s="1247">
        <f>IF(D898="","-",+C905+1)</f>
        <v>2024</v>
      </c>
      <c r="D906" s="1235">
        <f t="shared" si="54"/>
        <v>7347354.7963157902</v>
      </c>
      <c r="E906" s="746">
        <f t="shared" ref="E906:E963" si="56">IF(D906&gt;$I$901,$I$901,D906)</f>
        <v>202220.77421052635</v>
      </c>
      <c r="F906" s="691">
        <f t="shared" ref="F906:F963" si="57">+D906-E906</f>
        <v>7145134.0221052635</v>
      </c>
      <c r="G906" s="1230">
        <f t="shared" ref="G906:G963" si="58">+$I$810*((D906+F906)/2)+E906</f>
        <v>1057925.2611974184</v>
      </c>
      <c r="H906" s="1233">
        <f t="shared" ref="H906:H963" si="59">+$I$810*((D906+F906)/2)+E906</f>
        <v>1057925.2611974184</v>
      </c>
      <c r="I906" s="1239">
        <f t="shared" si="55"/>
        <v>0</v>
      </c>
      <c r="J906" s="743"/>
      <c r="K906" s="869">
        <v>985595.5816379051</v>
      </c>
      <c r="L906" s="749"/>
      <c r="M906" s="869">
        <v>985595.5816379051</v>
      </c>
      <c r="N906" s="749"/>
      <c r="O906" s="749"/>
    </row>
    <row r="907" spans="1:15">
      <c r="C907" s="739">
        <f>IF(D898="","-",+C906+1)</f>
        <v>2025</v>
      </c>
      <c r="D907" s="691">
        <f t="shared" si="54"/>
        <v>7145134.0221052635</v>
      </c>
      <c r="E907" s="746">
        <f t="shared" si="56"/>
        <v>202220.77421052635</v>
      </c>
      <c r="F907" s="691">
        <f t="shared" si="57"/>
        <v>6942913.2478947369</v>
      </c>
      <c r="G907" s="1230">
        <f t="shared" si="58"/>
        <v>1034045.1359791794</v>
      </c>
      <c r="H907" s="1233">
        <f t="shared" si="59"/>
        <v>1034045.1359791794</v>
      </c>
      <c r="I907" s="743">
        <f t="shared" si="55"/>
        <v>0</v>
      </c>
      <c r="J907" s="743"/>
      <c r="K907" s="869"/>
      <c r="L907" s="749"/>
      <c r="M907" s="869"/>
      <c r="N907" s="749"/>
      <c r="O907" s="749"/>
    </row>
    <row r="908" spans="1:15">
      <c r="C908" s="739">
        <f>IF(D898="","-",+C907+1)</f>
        <v>2026</v>
      </c>
      <c r="D908" s="691">
        <f t="shared" si="54"/>
        <v>6942913.2478947369</v>
      </c>
      <c r="E908" s="746">
        <f t="shared" si="56"/>
        <v>202220.77421052635</v>
      </c>
      <c r="F908" s="691">
        <f t="shared" si="57"/>
        <v>6740692.4736842103</v>
      </c>
      <c r="G908" s="1230">
        <f t="shared" si="58"/>
        <v>1010165.0107609406</v>
      </c>
      <c r="H908" s="1233">
        <f t="shared" si="59"/>
        <v>1010165.0107609406</v>
      </c>
      <c r="I908" s="743">
        <f t="shared" si="55"/>
        <v>0</v>
      </c>
      <c r="J908" s="743"/>
      <c r="K908" s="869"/>
      <c r="L908" s="749"/>
      <c r="M908" s="869"/>
      <c r="N908" s="749"/>
      <c r="O908" s="749"/>
    </row>
    <row r="909" spans="1:15">
      <c r="C909" s="739">
        <f>IF(D898="","-",+C908+1)</f>
        <v>2027</v>
      </c>
      <c r="D909" s="691">
        <f t="shared" si="54"/>
        <v>6740692.4736842103</v>
      </c>
      <c r="E909" s="746">
        <f t="shared" si="56"/>
        <v>202220.77421052635</v>
      </c>
      <c r="F909" s="691">
        <f t="shared" si="57"/>
        <v>6538471.6994736837</v>
      </c>
      <c r="G909" s="1230">
        <f t="shared" si="58"/>
        <v>986284.8855427017</v>
      </c>
      <c r="H909" s="1233">
        <f t="shared" si="59"/>
        <v>986284.8855427017</v>
      </c>
      <c r="I909" s="743">
        <f t="shared" si="55"/>
        <v>0</v>
      </c>
      <c r="J909" s="743"/>
      <c r="K909" s="869"/>
      <c r="L909" s="749"/>
      <c r="M909" s="869"/>
      <c r="N909" s="749"/>
      <c r="O909" s="749"/>
    </row>
    <row r="910" spans="1:15">
      <c r="C910" s="739">
        <f>IF(D898="","-",+C909+1)</f>
        <v>2028</v>
      </c>
      <c r="D910" s="691">
        <f t="shared" si="54"/>
        <v>6538471.6994736837</v>
      </c>
      <c r="E910" s="746">
        <f t="shared" si="56"/>
        <v>202220.77421052635</v>
      </c>
      <c r="F910" s="691">
        <f t="shared" si="57"/>
        <v>6336250.9252631571</v>
      </c>
      <c r="G910" s="1230">
        <f t="shared" si="58"/>
        <v>962404.7603244629</v>
      </c>
      <c r="H910" s="1233">
        <f t="shared" si="59"/>
        <v>962404.7603244629</v>
      </c>
      <c r="I910" s="743">
        <f t="shared" si="55"/>
        <v>0</v>
      </c>
      <c r="J910" s="743"/>
      <c r="K910" s="869"/>
      <c r="L910" s="749"/>
      <c r="M910" s="869"/>
      <c r="N910" s="749"/>
      <c r="O910" s="749"/>
    </row>
    <row r="911" spans="1:15">
      <c r="C911" s="739">
        <f>IF(D898="","-",+C910+1)</f>
        <v>2029</v>
      </c>
      <c r="D911" s="691">
        <f t="shared" si="54"/>
        <v>6336250.9252631571</v>
      </c>
      <c r="E911" s="746">
        <f t="shared" si="56"/>
        <v>202220.77421052635</v>
      </c>
      <c r="F911" s="691">
        <f t="shared" si="57"/>
        <v>6134030.1510526305</v>
      </c>
      <c r="G911" s="1230">
        <f t="shared" si="58"/>
        <v>938524.63510622387</v>
      </c>
      <c r="H911" s="1233">
        <f t="shared" si="59"/>
        <v>938524.63510622387</v>
      </c>
      <c r="I911" s="743">
        <f t="shared" si="55"/>
        <v>0</v>
      </c>
      <c r="J911" s="743"/>
      <c r="K911" s="869"/>
      <c r="L911" s="749"/>
      <c r="M911" s="869"/>
      <c r="N911" s="749"/>
      <c r="O911" s="749"/>
    </row>
    <row r="912" spans="1:15">
      <c r="C912" s="739">
        <f>IF(D898="","-",+C911+1)</f>
        <v>2030</v>
      </c>
      <c r="D912" s="691">
        <f t="shared" si="54"/>
        <v>6134030.1510526305</v>
      </c>
      <c r="E912" s="746">
        <f t="shared" si="56"/>
        <v>202220.77421052635</v>
      </c>
      <c r="F912" s="691">
        <f t="shared" si="57"/>
        <v>5931809.3768421039</v>
      </c>
      <c r="G912" s="1230">
        <f t="shared" si="58"/>
        <v>914644.50988798519</v>
      </c>
      <c r="H912" s="1233">
        <f t="shared" si="59"/>
        <v>914644.50988798519</v>
      </c>
      <c r="I912" s="743">
        <f t="shared" si="55"/>
        <v>0</v>
      </c>
      <c r="J912" s="743"/>
      <c r="K912" s="869"/>
      <c r="L912" s="749"/>
      <c r="M912" s="869"/>
      <c r="N912" s="749"/>
      <c r="O912" s="749"/>
    </row>
    <row r="913" spans="3:15">
      <c r="C913" s="739">
        <f>IF(D898="","-",+C912+1)</f>
        <v>2031</v>
      </c>
      <c r="D913" s="691">
        <f t="shared" si="54"/>
        <v>5931809.3768421039</v>
      </c>
      <c r="E913" s="746">
        <f t="shared" si="56"/>
        <v>202220.77421052635</v>
      </c>
      <c r="F913" s="691">
        <f t="shared" si="57"/>
        <v>5729588.6026315773</v>
      </c>
      <c r="G913" s="1230">
        <f t="shared" si="58"/>
        <v>890764.38466974616</v>
      </c>
      <c r="H913" s="1233">
        <f t="shared" si="59"/>
        <v>890764.38466974616</v>
      </c>
      <c r="I913" s="743">
        <f t="shared" si="55"/>
        <v>0</v>
      </c>
      <c r="J913" s="743"/>
      <c r="K913" s="869"/>
      <c r="L913" s="749"/>
      <c r="M913" s="869"/>
      <c r="N913" s="749"/>
      <c r="O913" s="749"/>
    </row>
    <row r="914" spans="3:15">
      <c r="C914" s="739">
        <f>IF(D898="","-",+C913+1)</f>
        <v>2032</v>
      </c>
      <c r="D914" s="691">
        <f t="shared" si="54"/>
        <v>5729588.6026315773</v>
      </c>
      <c r="E914" s="746">
        <f t="shared" si="56"/>
        <v>202220.77421052635</v>
      </c>
      <c r="F914" s="691">
        <f t="shared" si="57"/>
        <v>5527367.8284210507</v>
      </c>
      <c r="G914" s="1230">
        <f t="shared" si="58"/>
        <v>866884.25945150736</v>
      </c>
      <c r="H914" s="1233">
        <f t="shared" si="59"/>
        <v>866884.25945150736</v>
      </c>
      <c r="I914" s="743">
        <f t="shared" si="55"/>
        <v>0</v>
      </c>
      <c r="J914" s="743"/>
      <c r="K914" s="869"/>
      <c r="L914" s="749"/>
      <c r="M914" s="869"/>
      <c r="N914" s="749"/>
      <c r="O914" s="749"/>
    </row>
    <row r="915" spans="3:15">
      <c r="C915" s="739">
        <f>IF(D898="","-",+C914+1)</f>
        <v>2033</v>
      </c>
      <c r="D915" s="691">
        <f t="shared" si="54"/>
        <v>5527367.8284210507</v>
      </c>
      <c r="E915" s="746">
        <f t="shared" si="56"/>
        <v>202220.77421052635</v>
      </c>
      <c r="F915" s="691">
        <f t="shared" si="57"/>
        <v>5325147.0542105241</v>
      </c>
      <c r="G915" s="1230">
        <f t="shared" si="58"/>
        <v>843004.13423326844</v>
      </c>
      <c r="H915" s="1233">
        <f t="shared" si="59"/>
        <v>843004.13423326844</v>
      </c>
      <c r="I915" s="743">
        <f t="shared" si="55"/>
        <v>0</v>
      </c>
      <c r="J915" s="743"/>
      <c r="K915" s="869"/>
      <c r="L915" s="749"/>
      <c r="M915" s="869"/>
      <c r="N915" s="749"/>
      <c r="O915" s="749"/>
    </row>
    <row r="916" spans="3:15">
      <c r="C916" s="739">
        <f>IF(D898="","-",+C915+1)</f>
        <v>2034</v>
      </c>
      <c r="D916" s="691">
        <f t="shared" si="54"/>
        <v>5325147.0542105241</v>
      </c>
      <c r="E916" s="746">
        <f t="shared" si="56"/>
        <v>202220.77421052635</v>
      </c>
      <c r="F916" s="691">
        <f t="shared" si="57"/>
        <v>5122926.2799999975</v>
      </c>
      <c r="G916" s="1230">
        <f t="shared" si="58"/>
        <v>819124.00901502965</v>
      </c>
      <c r="H916" s="1233">
        <f t="shared" si="59"/>
        <v>819124.00901502965</v>
      </c>
      <c r="I916" s="743">
        <f t="shared" si="55"/>
        <v>0</v>
      </c>
      <c r="J916" s="743"/>
      <c r="K916" s="869"/>
      <c r="L916" s="749"/>
      <c r="M916" s="869"/>
      <c r="N916" s="749"/>
      <c r="O916" s="749"/>
    </row>
    <row r="917" spans="3:15">
      <c r="C917" s="739">
        <f>IF(D898="","-",+C916+1)</f>
        <v>2035</v>
      </c>
      <c r="D917" s="691">
        <f t="shared" si="54"/>
        <v>5122926.2799999975</v>
      </c>
      <c r="E917" s="746">
        <f t="shared" si="56"/>
        <v>202220.77421052635</v>
      </c>
      <c r="F917" s="691">
        <f t="shared" si="57"/>
        <v>4920705.5057894709</v>
      </c>
      <c r="G917" s="1230">
        <f t="shared" si="58"/>
        <v>795243.88379679061</v>
      </c>
      <c r="H917" s="1233">
        <f t="shared" si="59"/>
        <v>795243.88379679061</v>
      </c>
      <c r="I917" s="743">
        <f t="shared" si="55"/>
        <v>0</v>
      </c>
      <c r="J917" s="743"/>
      <c r="K917" s="869"/>
      <c r="L917" s="749"/>
      <c r="M917" s="869"/>
      <c r="N917" s="749"/>
      <c r="O917" s="749"/>
    </row>
    <row r="918" spans="3:15">
      <c r="C918" s="739">
        <f>IF(D898="","-",+C917+1)</f>
        <v>2036</v>
      </c>
      <c r="D918" s="691">
        <f t="shared" si="54"/>
        <v>4920705.5057894709</v>
      </c>
      <c r="E918" s="746">
        <f t="shared" si="56"/>
        <v>202220.77421052635</v>
      </c>
      <c r="F918" s="691">
        <f t="shared" si="57"/>
        <v>4718484.7315789443</v>
      </c>
      <c r="G918" s="1230">
        <f t="shared" si="58"/>
        <v>771363.75857855182</v>
      </c>
      <c r="H918" s="1233">
        <f t="shared" si="59"/>
        <v>771363.75857855182</v>
      </c>
      <c r="I918" s="743">
        <f t="shared" si="55"/>
        <v>0</v>
      </c>
      <c r="J918" s="743"/>
      <c r="K918" s="869"/>
      <c r="L918" s="749"/>
      <c r="M918" s="869"/>
      <c r="N918" s="749"/>
      <c r="O918" s="749"/>
    </row>
    <row r="919" spans="3:15">
      <c r="C919" s="739">
        <f>IF(D898="","-",+C918+1)</f>
        <v>2037</v>
      </c>
      <c r="D919" s="691">
        <f t="shared" si="54"/>
        <v>4718484.7315789443</v>
      </c>
      <c r="E919" s="746">
        <f t="shared" si="56"/>
        <v>202220.77421052635</v>
      </c>
      <c r="F919" s="691">
        <f t="shared" si="57"/>
        <v>4516263.9573684176</v>
      </c>
      <c r="G919" s="1230">
        <f t="shared" si="58"/>
        <v>747483.6333603129</v>
      </c>
      <c r="H919" s="1233">
        <f t="shared" si="59"/>
        <v>747483.6333603129</v>
      </c>
      <c r="I919" s="743">
        <f t="shared" si="55"/>
        <v>0</v>
      </c>
      <c r="J919" s="743"/>
      <c r="K919" s="869"/>
      <c r="L919" s="749"/>
      <c r="M919" s="869"/>
      <c r="N919" s="749"/>
      <c r="O919" s="749"/>
    </row>
    <row r="920" spans="3:15">
      <c r="C920" s="739">
        <f>IF(D898="","-",+C919+1)</f>
        <v>2038</v>
      </c>
      <c r="D920" s="691">
        <f t="shared" si="54"/>
        <v>4516263.9573684176</v>
      </c>
      <c r="E920" s="746">
        <f t="shared" si="56"/>
        <v>202220.77421052635</v>
      </c>
      <c r="F920" s="691">
        <f t="shared" si="57"/>
        <v>4314043.183157891</v>
      </c>
      <c r="G920" s="1230">
        <f t="shared" si="58"/>
        <v>723603.5081420741</v>
      </c>
      <c r="H920" s="1233">
        <f t="shared" si="59"/>
        <v>723603.5081420741</v>
      </c>
      <c r="I920" s="743">
        <f t="shared" si="55"/>
        <v>0</v>
      </c>
      <c r="J920" s="743"/>
      <c r="K920" s="869"/>
      <c r="L920" s="749"/>
      <c r="M920" s="869"/>
      <c r="N920" s="749"/>
      <c r="O920" s="749"/>
    </row>
    <row r="921" spans="3:15">
      <c r="C921" s="739">
        <f>IF(D898="","-",+C920+1)</f>
        <v>2039</v>
      </c>
      <c r="D921" s="691">
        <f t="shared" si="54"/>
        <v>4314043.183157891</v>
      </c>
      <c r="E921" s="746">
        <f t="shared" si="56"/>
        <v>202220.77421052635</v>
      </c>
      <c r="F921" s="691">
        <f t="shared" si="57"/>
        <v>4111822.4089473649</v>
      </c>
      <c r="G921" s="1230">
        <f t="shared" si="58"/>
        <v>699723.38292383519</v>
      </c>
      <c r="H921" s="1233">
        <f t="shared" si="59"/>
        <v>699723.38292383519</v>
      </c>
      <c r="I921" s="743">
        <f t="shared" si="55"/>
        <v>0</v>
      </c>
      <c r="J921" s="743"/>
      <c r="K921" s="869"/>
      <c r="L921" s="749"/>
      <c r="M921" s="869"/>
      <c r="N921" s="749"/>
      <c r="O921" s="749"/>
    </row>
    <row r="922" spans="3:15">
      <c r="C922" s="739">
        <f>IF(D898="","-",+C921+1)</f>
        <v>2040</v>
      </c>
      <c r="D922" s="691">
        <f t="shared" si="54"/>
        <v>4111822.4089473649</v>
      </c>
      <c r="E922" s="746">
        <f t="shared" si="56"/>
        <v>202220.77421052635</v>
      </c>
      <c r="F922" s="691">
        <f t="shared" si="57"/>
        <v>3909601.6347368388</v>
      </c>
      <c r="G922" s="1230">
        <f t="shared" si="58"/>
        <v>675843.25770559628</v>
      </c>
      <c r="H922" s="1233">
        <f t="shared" si="59"/>
        <v>675843.25770559628</v>
      </c>
      <c r="I922" s="743">
        <f t="shared" si="55"/>
        <v>0</v>
      </c>
      <c r="J922" s="743"/>
      <c r="K922" s="869"/>
      <c r="L922" s="749"/>
      <c r="M922" s="869"/>
      <c r="N922" s="749"/>
      <c r="O922" s="749"/>
    </row>
    <row r="923" spans="3:15">
      <c r="C923" s="739">
        <f>IF(D898="","-",+C922+1)</f>
        <v>2041</v>
      </c>
      <c r="D923" s="691">
        <f t="shared" si="54"/>
        <v>3909601.6347368388</v>
      </c>
      <c r="E923" s="746">
        <f t="shared" si="56"/>
        <v>202220.77421052635</v>
      </c>
      <c r="F923" s="691">
        <f t="shared" si="57"/>
        <v>3707380.8605263126</v>
      </c>
      <c r="G923" s="1230">
        <f t="shared" si="58"/>
        <v>651963.13248735759</v>
      </c>
      <c r="H923" s="1233">
        <f t="shared" si="59"/>
        <v>651963.13248735759</v>
      </c>
      <c r="I923" s="743">
        <f t="shared" si="55"/>
        <v>0</v>
      </c>
      <c r="J923" s="743"/>
      <c r="K923" s="869"/>
      <c r="L923" s="749"/>
      <c r="M923" s="869"/>
      <c r="N923" s="749"/>
      <c r="O923" s="749"/>
    </row>
    <row r="924" spans="3:15">
      <c r="C924" s="739">
        <f>IF(D898="","-",+C923+1)</f>
        <v>2042</v>
      </c>
      <c r="D924" s="691">
        <f t="shared" si="54"/>
        <v>3707380.8605263126</v>
      </c>
      <c r="E924" s="746">
        <f t="shared" si="56"/>
        <v>202220.77421052635</v>
      </c>
      <c r="F924" s="691">
        <f t="shared" si="57"/>
        <v>3505160.0863157865</v>
      </c>
      <c r="G924" s="1230">
        <f t="shared" si="58"/>
        <v>628083.00726911868</v>
      </c>
      <c r="H924" s="1233">
        <f t="shared" si="59"/>
        <v>628083.00726911868</v>
      </c>
      <c r="I924" s="743">
        <f t="shared" si="55"/>
        <v>0</v>
      </c>
      <c r="J924" s="743"/>
      <c r="K924" s="869"/>
      <c r="L924" s="749"/>
      <c r="M924" s="869"/>
      <c r="N924" s="749"/>
      <c r="O924" s="749"/>
    </row>
    <row r="925" spans="3:15">
      <c r="C925" s="739">
        <f>IF(D898="","-",+C924+1)</f>
        <v>2043</v>
      </c>
      <c r="D925" s="691">
        <f t="shared" si="54"/>
        <v>3505160.0863157865</v>
      </c>
      <c r="E925" s="746">
        <f t="shared" si="56"/>
        <v>202220.77421052635</v>
      </c>
      <c r="F925" s="691">
        <f t="shared" si="57"/>
        <v>3302939.3121052603</v>
      </c>
      <c r="G925" s="1230">
        <f t="shared" si="58"/>
        <v>604202.88205087988</v>
      </c>
      <c r="H925" s="1233">
        <f t="shared" si="59"/>
        <v>604202.88205087988</v>
      </c>
      <c r="I925" s="743">
        <f t="shared" si="55"/>
        <v>0</v>
      </c>
      <c r="J925" s="743"/>
      <c r="K925" s="869"/>
      <c r="L925" s="749"/>
      <c r="M925" s="869"/>
      <c r="N925" s="749"/>
      <c r="O925" s="749"/>
    </row>
    <row r="926" spans="3:15">
      <c r="C926" s="739">
        <f>IF(D898="","-",+C925+1)</f>
        <v>2044</v>
      </c>
      <c r="D926" s="691">
        <f t="shared" si="54"/>
        <v>3302939.3121052603</v>
      </c>
      <c r="E926" s="746">
        <f t="shared" si="56"/>
        <v>202220.77421052635</v>
      </c>
      <c r="F926" s="691">
        <f t="shared" si="57"/>
        <v>3100718.5378947342</v>
      </c>
      <c r="G926" s="1230">
        <f t="shared" si="58"/>
        <v>580322.75683264097</v>
      </c>
      <c r="H926" s="1233">
        <f t="shared" si="59"/>
        <v>580322.75683264097</v>
      </c>
      <c r="I926" s="743">
        <f t="shared" si="55"/>
        <v>0</v>
      </c>
      <c r="J926" s="743"/>
      <c r="K926" s="869"/>
      <c r="L926" s="749"/>
      <c r="M926" s="869"/>
      <c r="N926" s="749"/>
      <c r="O926" s="749"/>
    </row>
    <row r="927" spans="3:15">
      <c r="C927" s="739">
        <f>IF(D898="","-",+C926+1)</f>
        <v>2045</v>
      </c>
      <c r="D927" s="691">
        <f t="shared" si="54"/>
        <v>3100718.5378947342</v>
      </c>
      <c r="E927" s="746">
        <f t="shared" si="56"/>
        <v>202220.77421052635</v>
      </c>
      <c r="F927" s="691">
        <f t="shared" si="57"/>
        <v>2898497.763684208</v>
      </c>
      <c r="G927" s="1230">
        <f t="shared" si="58"/>
        <v>556442.63161440229</v>
      </c>
      <c r="H927" s="1233">
        <f t="shared" si="59"/>
        <v>556442.63161440229</v>
      </c>
      <c r="I927" s="743">
        <f t="shared" si="55"/>
        <v>0</v>
      </c>
      <c r="J927" s="743"/>
      <c r="K927" s="869"/>
      <c r="L927" s="749"/>
      <c r="M927" s="869"/>
      <c r="N927" s="749"/>
      <c r="O927" s="749"/>
    </row>
    <row r="928" spans="3:15">
      <c r="C928" s="739">
        <f>IF(D898="","-",+C927+1)</f>
        <v>2046</v>
      </c>
      <c r="D928" s="691">
        <f t="shared" si="54"/>
        <v>2898497.763684208</v>
      </c>
      <c r="E928" s="746">
        <f t="shared" si="56"/>
        <v>202220.77421052635</v>
      </c>
      <c r="F928" s="691">
        <f t="shared" si="57"/>
        <v>2696276.9894736819</v>
      </c>
      <c r="G928" s="1230">
        <f t="shared" si="58"/>
        <v>532562.50639616337</v>
      </c>
      <c r="H928" s="1233">
        <f t="shared" si="59"/>
        <v>532562.50639616337</v>
      </c>
      <c r="I928" s="743">
        <f t="shared" si="55"/>
        <v>0</v>
      </c>
      <c r="J928" s="743"/>
      <c r="K928" s="869"/>
      <c r="L928" s="749"/>
      <c r="M928" s="869"/>
      <c r="N928" s="749"/>
      <c r="O928" s="749"/>
    </row>
    <row r="929" spans="3:15">
      <c r="C929" s="739">
        <f>IF(D898="","-",+C928+1)</f>
        <v>2047</v>
      </c>
      <c r="D929" s="691">
        <f t="shared" si="54"/>
        <v>2696276.9894736819</v>
      </c>
      <c r="E929" s="746">
        <f t="shared" si="56"/>
        <v>202220.77421052635</v>
      </c>
      <c r="F929" s="691">
        <f t="shared" si="57"/>
        <v>2494056.2152631558</v>
      </c>
      <c r="G929" s="1230">
        <f t="shared" si="58"/>
        <v>508682.38117792457</v>
      </c>
      <c r="H929" s="1233">
        <f t="shared" si="59"/>
        <v>508682.38117792457</v>
      </c>
      <c r="I929" s="743">
        <f t="shared" si="55"/>
        <v>0</v>
      </c>
      <c r="J929" s="743"/>
      <c r="K929" s="869"/>
      <c r="L929" s="749"/>
      <c r="M929" s="869"/>
      <c r="N929" s="749"/>
      <c r="O929" s="749"/>
    </row>
    <row r="930" spans="3:15">
      <c r="C930" s="739">
        <f>IF(D898="","-",+C929+1)</f>
        <v>2048</v>
      </c>
      <c r="D930" s="691">
        <f t="shared" si="54"/>
        <v>2494056.2152631558</v>
      </c>
      <c r="E930" s="746">
        <f t="shared" si="56"/>
        <v>202220.77421052635</v>
      </c>
      <c r="F930" s="691">
        <f t="shared" si="57"/>
        <v>2291835.4410526296</v>
      </c>
      <c r="G930" s="1230">
        <f t="shared" si="58"/>
        <v>484802.25595968578</v>
      </c>
      <c r="H930" s="1233">
        <f t="shared" si="59"/>
        <v>484802.25595968578</v>
      </c>
      <c r="I930" s="743">
        <f t="shared" si="55"/>
        <v>0</v>
      </c>
      <c r="J930" s="743"/>
      <c r="K930" s="869"/>
      <c r="L930" s="749"/>
      <c r="M930" s="869"/>
      <c r="N930" s="749"/>
      <c r="O930" s="749"/>
    </row>
    <row r="931" spans="3:15">
      <c r="C931" s="739">
        <f>IF(D898="","-",+C930+1)</f>
        <v>2049</v>
      </c>
      <c r="D931" s="691">
        <f t="shared" si="54"/>
        <v>2291835.4410526296</v>
      </c>
      <c r="E931" s="746">
        <f t="shared" si="56"/>
        <v>202220.77421052635</v>
      </c>
      <c r="F931" s="691">
        <f t="shared" si="57"/>
        <v>2089614.6668421032</v>
      </c>
      <c r="G931" s="1230">
        <f t="shared" si="58"/>
        <v>460922.13074144692</v>
      </c>
      <c r="H931" s="1233">
        <f t="shared" si="59"/>
        <v>460922.13074144692</v>
      </c>
      <c r="I931" s="743">
        <f t="shared" si="55"/>
        <v>0</v>
      </c>
      <c r="J931" s="743"/>
      <c r="K931" s="869"/>
      <c r="L931" s="749"/>
      <c r="M931" s="869"/>
      <c r="N931" s="749"/>
      <c r="O931" s="749"/>
    </row>
    <row r="932" spans="3:15">
      <c r="C932" s="739">
        <f>IF(D898="","-",+C931+1)</f>
        <v>2050</v>
      </c>
      <c r="D932" s="691">
        <f t="shared" si="54"/>
        <v>2089614.6668421032</v>
      </c>
      <c r="E932" s="746">
        <f t="shared" si="56"/>
        <v>202220.77421052635</v>
      </c>
      <c r="F932" s="691">
        <f t="shared" si="57"/>
        <v>1887393.8926315769</v>
      </c>
      <c r="G932" s="1230">
        <f t="shared" si="58"/>
        <v>437042.00552320806</v>
      </c>
      <c r="H932" s="1233">
        <f t="shared" si="59"/>
        <v>437042.00552320806</v>
      </c>
      <c r="I932" s="743">
        <f t="shared" si="55"/>
        <v>0</v>
      </c>
      <c r="J932" s="743"/>
      <c r="K932" s="869"/>
      <c r="L932" s="749"/>
      <c r="M932" s="869"/>
      <c r="N932" s="749"/>
      <c r="O932" s="749"/>
    </row>
    <row r="933" spans="3:15">
      <c r="C933" s="739">
        <f>IF(D898="","-",+C932+1)</f>
        <v>2051</v>
      </c>
      <c r="D933" s="691">
        <f t="shared" si="54"/>
        <v>1887393.8926315769</v>
      </c>
      <c r="E933" s="746">
        <f t="shared" si="56"/>
        <v>202220.77421052635</v>
      </c>
      <c r="F933" s="691">
        <f t="shared" si="57"/>
        <v>1685173.1184210505</v>
      </c>
      <c r="G933" s="1230">
        <f t="shared" si="58"/>
        <v>413161.88030496921</v>
      </c>
      <c r="H933" s="1233">
        <f t="shared" si="59"/>
        <v>413161.88030496921</v>
      </c>
      <c r="I933" s="743">
        <f t="shared" si="55"/>
        <v>0</v>
      </c>
      <c r="J933" s="743"/>
      <c r="K933" s="869"/>
      <c r="L933" s="749"/>
      <c r="M933" s="869"/>
      <c r="N933" s="749"/>
      <c r="O933" s="749"/>
    </row>
    <row r="934" spans="3:15">
      <c r="C934" s="739">
        <f>IF(D898="","-",+C933+1)</f>
        <v>2052</v>
      </c>
      <c r="D934" s="691">
        <f t="shared" si="54"/>
        <v>1685173.1184210505</v>
      </c>
      <c r="E934" s="746">
        <f t="shared" si="56"/>
        <v>202220.77421052635</v>
      </c>
      <c r="F934" s="691">
        <f t="shared" si="57"/>
        <v>1482952.3442105241</v>
      </c>
      <c r="G934" s="1230">
        <f t="shared" si="58"/>
        <v>389281.75508673035</v>
      </c>
      <c r="H934" s="1233">
        <f t="shared" si="59"/>
        <v>389281.75508673035</v>
      </c>
      <c r="I934" s="743">
        <f t="shared" si="55"/>
        <v>0</v>
      </c>
      <c r="J934" s="743"/>
      <c r="K934" s="869"/>
      <c r="L934" s="749"/>
      <c r="M934" s="869"/>
      <c r="N934" s="749"/>
      <c r="O934" s="749"/>
    </row>
    <row r="935" spans="3:15">
      <c r="C935" s="739">
        <f>IF(D898="","-",+C934+1)</f>
        <v>2053</v>
      </c>
      <c r="D935" s="691">
        <f t="shared" si="54"/>
        <v>1482952.3442105241</v>
      </c>
      <c r="E935" s="746">
        <f t="shared" si="56"/>
        <v>202220.77421052635</v>
      </c>
      <c r="F935" s="691">
        <f t="shared" si="57"/>
        <v>1280731.5699999977</v>
      </c>
      <c r="G935" s="1230">
        <f t="shared" si="58"/>
        <v>365401.62986849149</v>
      </c>
      <c r="H935" s="1233">
        <f t="shared" si="59"/>
        <v>365401.62986849149</v>
      </c>
      <c r="I935" s="743">
        <f t="shared" si="55"/>
        <v>0</v>
      </c>
      <c r="J935" s="743"/>
      <c r="K935" s="869"/>
      <c r="L935" s="749"/>
      <c r="M935" s="869"/>
      <c r="N935" s="749"/>
      <c r="O935" s="749"/>
    </row>
    <row r="936" spans="3:15">
      <c r="C936" s="739">
        <f>IF(D898="","-",+C935+1)</f>
        <v>2054</v>
      </c>
      <c r="D936" s="691">
        <f t="shared" si="54"/>
        <v>1280731.5699999977</v>
      </c>
      <c r="E936" s="746">
        <f t="shared" si="56"/>
        <v>202220.77421052635</v>
      </c>
      <c r="F936" s="691">
        <f t="shared" si="57"/>
        <v>1078510.7957894714</v>
      </c>
      <c r="G936" s="1230">
        <f t="shared" si="58"/>
        <v>341521.50465025264</v>
      </c>
      <c r="H936" s="1233">
        <f t="shared" si="59"/>
        <v>341521.50465025264</v>
      </c>
      <c r="I936" s="743">
        <f t="shared" si="55"/>
        <v>0</v>
      </c>
      <c r="J936" s="743"/>
      <c r="K936" s="869"/>
      <c r="L936" s="749"/>
      <c r="M936" s="869"/>
      <c r="N936" s="749"/>
      <c r="O936" s="749"/>
    </row>
    <row r="937" spans="3:15">
      <c r="C937" s="739">
        <f>IF(D898="","-",+C936+1)</f>
        <v>2055</v>
      </c>
      <c r="D937" s="691">
        <f t="shared" si="54"/>
        <v>1078510.7957894714</v>
      </c>
      <c r="E937" s="746">
        <f t="shared" si="56"/>
        <v>202220.77421052635</v>
      </c>
      <c r="F937" s="691">
        <f t="shared" si="57"/>
        <v>876290.02157894499</v>
      </c>
      <c r="G937" s="1230">
        <f t="shared" si="58"/>
        <v>317641.37943201384</v>
      </c>
      <c r="H937" s="1233">
        <f t="shared" si="59"/>
        <v>317641.37943201384</v>
      </c>
      <c r="I937" s="743">
        <f t="shared" si="55"/>
        <v>0</v>
      </c>
      <c r="J937" s="743"/>
      <c r="K937" s="869"/>
      <c r="L937" s="749"/>
      <c r="M937" s="869"/>
      <c r="N937" s="749"/>
      <c r="O937" s="749"/>
    </row>
    <row r="938" spans="3:15">
      <c r="C938" s="739">
        <f>IF(D898="","-",+C937+1)</f>
        <v>2056</v>
      </c>
      <c r="D938" s="691">
        <f t="shared" si="54"/>
        <v>876290.02157894499</v>
      </c>
      <c r="E938" s="746">
        <f t="shared" si="56"/>
        <v>202220.77421052635</v>
      </c>
      <c r="F938" s="691">
        <f t="shared" si="57"/>
        <v>674069.24736841861</v>
      </c>
      <c r="G938" s="1230">
        <f t="shared" si="58"/>
        <v>293761.25421377498</v>
      </c>
      <c r="H938" s="1233">
        <f t="shared" si="59"/>
        <v>293761.25421377498</v>
      </c>
      <c r="I938" s="743">
        <f t="shared" si="55"/>
        <v>0</v>
      </c>
      <c r="J938" s="743"/>
      <c r="K938" s="869"/>
      <c r="L938" s="749"/>
      <c r="M938" s="869"/>
      <c r="N938" s="749"/>
      <c r="O938" s="749"/>
    </row>
    <row r="939" spans="3:15">
      <c r="C939" s="739">
        <f>IF(D898="","-",+C938+1)</f>
        <v>2057</v>
      </c>
      <c r="D939" s="691">
        <f t="shared" si="54"/>
        <v>674069.24736841861</v>
      </c>
      <c r="E939" s="746">
        <f t="shared" si="56"/>
        <v>202220.77421052635</v>
      </c>
      <c r="F939" s="691">
        <f t="shared" si="57"/>
        <v>471848.47315789224</v>
      </c>
      <c r="G939" s="1230">
        <f t="shared" si="58"/>
        <v>269881.12899553613</v>
      </c>
      <c r="H939" s="1233">
        <f t="shared" si="59"/>
        <v>269881.12899553613</v>
      </c>
      <c r="I939" s="743">
        <f t="shared" si="55"/>
        <v>0</v>
      </c>
      <c r="J939" s="743"/>
      <c r="K939" s="869"/>
      <c r="L939" s="749"/>
      <c r="M939" s="869"/>
      <c r="N939" s="749"/>
      <c r="O939" s="749"/>
    </row>
    <row r="940" spans="3:15">
      <c r="C940" s="739">
        <f>IF(D898="","-",+C939+1)</f>
        <v>2058</v>
      </c>
      <c r="D940" s="691">
        <f t="shared" si="54"/>
        <v>471848.47315789224</v>
      </c>
      <c r="E940" s="746">
        <f t="shared" si="56"/>
        <v>202220.77421052635</v>
      </c>
      <c r="F940" s="691">
        <f t="shared" si="57"/>
        <v>269627.69894736586</v>
      </c>
      <c r="G940" s="1230">
        <f t="shared" si="58"/>
        <v>246001.00377729727</v>
      </c>
      <c r="H940" s="1233">
        <f t="shared" si="59"/>
        <v>246001.00377729727</v>
      </c>
      <c r="I940" s="743">
        <f t="shared" si="55"/>
        <v>0</v>
      </c>
      <c r="J940" s="743"/>
      <c r="K940" s="869"/>
      <c r="L940" s="749"/>
      <c r="M940" s="869"/>
      <c r="N940" s="749"/>
      <c r="O940" s="749"/>
    </row>
    <row r="941" spans="3:15">
      <c r="C941" s="739">
        <f>IF(D898="","-",+C940+1)</f>
        <v>2059</v>
      </c>
      <c r="D941" s="691">
        <f t="shared" si="54"/>
        <v>269627.69894736586</v>
      </c>
      <c r="E941" s="746">
        <f t="shared" si="56"/>
        <v>202220.77421052635</v>
      </c>
      <c r="F941" s="691">
        <f t="shared" si="57"/>
        <v>67406.924736839515</v>
      </c>
      <c r="G941" s="1230">
        <f t="shared" si="58"/>
        <v>222120.87855905842</v>
      </c>
      <c r="H941" s="1233">
        <f t="shared" si="59"/>
        <v>222120.87855905842</v>
      </c>
      <c r="I941" s="743">
        <f t="shared" si="55"/>
        <v>0</v>
      </c>
      <c r="J941" s="743"/>
      <c r="K941" s="869"/>
      <c r="L941" s="749"/>
      <c r="M941" s="869"/>
      <c r="N941" s="749"/>
      <c r="O941" s="749"/>
    </row>
    <row r="942" spans="3:15">
      <c r="C942" s="739">
        <f>IF(D898="","-",+C941+1)</f>
        <v>2060</v>
      </c>
      <c r="D942" s="691">
        <f t="shared" si="54"/>
        <v>67406.924736839515</v>
      </c>
      <c r="E942" s="746">
        <f t="shared" si="56"/>
        <v>67406.924736839515</v>
      </c>
      <c r="F942" s="691">
        <f t="shared" si="57"/>
        <v>0</v>
      </c>
      <c r="G942" s="1230">
        <f t="shared" si="58"/>
        <v>71386.945606545836</v>
      </c>
      <c r="H942" s="1233">
        <f t="shared" si="59"/>
        <v>71386.945606545836</v>
      </c>
      <c r="I942" s="743">
        <f t="shared" si="55"/>
        <v>0</v>
      </c>
      <c r="J942" s="743"/>
      <c r="K942" s="869"/>
      <c r="L942" s="749"/>
      <c r="M942" s="869"/>
      <c r="N942" s="749"/>
      <c r="O942" s="749"/>
    </row>
    <row r="943" spans="3:15">
      <c r="C943" s="739">
        <f>IF(D898="","-",+C942+1)</f>
        <v>2061</v>
      </c>
      <c r="D943" s="691">
        <f t="shared" si="54"/>
        <v>0</v>
      </c>
      <c r="E943" s="746">
        <f t="shared" si="56"/>
        <v>0</v>
      </c>
      <c r="F943" s="691">
        <f t="shared" si="57"/>
        <v>0</v>
      </c>
      <c r="G943" s="1230">
        <f t="shared" si="58"/>
        <v>0</v>
      </c>
      <c r="H943" s="1233">
        <f t="shared" si="59"/>
        <v>0</v>
      </c>
      <c r="I943" s="743">
        <f t="shared" si="55"/>
        <v>0</v>
      </c>
      <c r="J943" s="743"/>
      <c r="K943" s="869"/>
      <c r="L943" s="749"/>
      <c r="M943" s="869"/>
      <c r="N943" s="749"/>
      <c r="O943" s="749"/>
    </row>
    <row r="944" spans="3:15">
      <c r="C944" s="739">
        <f>IF(D898="","-",+C943+1)</f>
        <v>2062</v>
      </c>
      <c r="D944" s="691">
        <f t="shared" si="54"/>
        <v>0</v>
      </c>
      <c r="E944" s="746">
        <f t="shared" si="56"/>
        <v>0</v>
      </c>
      <c r="F944" s="691">
        <f t="shared" si="57"/>
        <v>0</v>
      </c>
      <c r="G944" s="1230">
        <f t="shared" si="58"/>
        <v>0</v>
      </c>
      <c r="H944" s="1233">
        <f t="shared" si="59"/>
        <v>0</v>
      </c>
      <c r="I944" s="743">
        <f t="shared" si="55"/>
        <v>0</v>
      </c>
      <c r="J944" s="743"/>
      <c r="K944" s="869"/>
      <c r="L944" s="749"/>
      <c r="M944" s="869"/>
      <c r="N944" s="749"/>
      <c r="O944" s="749"/>
    </row>
    <row r="945" spans="3:15">
      <c r="C945" s="739">
        <f>IF(D898="","-",+C944+1)</f>
        <v>2063</v>
      </c>
      <c r="D945" s="691">
        <f t="shared" si="54"/>
        <v>0</v>
      </c>
      <c r="E945" s="746">
        <f t="shared" si="56"/>
        <v>0</v>
      </c>
      <c r="F945" s="691">
        <f t="shared" si="57"/>
        <v>0</v>
      </c>
      <c r="G945" s="1230">
        <f t="shared" si="58"/>
        <v>0</v>
      </c>
      <c r="H945" s="1233">
        <f t="shared" si="59"/>
        <v>0</v>
      </c>
      <c r="I945" s="743">
        <f t="shared" si="55"/>
        <v>0</v>
      </c>
      <c r="J945" s="743"/>
      <c r="K945" s="869"/>
      <c r="L945" s="749"/>
      <c r="M945" s="869"/>
      <c r="N945" s="749"/>
      <c r="O945" s="749"/>
    </row>
    <row r="946" spans="3:15">
      <c r="C946" s="739">
        <f>IF(D898="","-",+C945+1)</f>
        <v>2064</v>
      </c>
      <c r="D946" s="691">
        <f t="shared" si="54"/>
        <v>0</v>
      </c>
      <c r="E946" s="746">
        <f t="shared" si="56"/>
        <v>0</v>
      </c>
      <c r="F946" s="691">
        <f t="shared" si="57"/>
        <v>0</v>
      </c>
      <c r="G946" s="1230">
        <f t="shared" si="58"/>
        <v>0</v>
      </c>
      <c r="H946" s="1233">
        <f t="shared" si="59"/>
        <v>0</v>
      </c>
      <c r="I946" s="743">
        <f t="shared" si="55"/>
        <v>0</v>
      </c>
      <c r="J946" s="743"/>
      <c r="K946" s="869"/>
      <c r="L946" s="749"/>
      <c r="M946" s="869"/>
      <c r="N946" s="749"/>
      <c r="O946" s="749"/>
    </row>
    <row r="947" spans="3:15">
      <c r="C947" s="739">
        <f>IF(D898="","-",+C946+1)</f>
        <v>2065</v>
      </c>
      <c r="D947" s="691">
        <f t="shared" si="54"/>
        <v>0</v>
      </c>
      <c r="E947" s="746">
        <f t="shared" si="56"/>
        <v>0</v>
      </c>
      <c r="F947" s="691">
        <f t="shared" si="57"/>
        <v>0</v>
      </c>
      <c r="G947" s="1230">
        <f t="shared" si="58"/>
        <v>0</v>
      </c>
      <c r="H947" s="1233">
        <f t="shared" si="59"/>
        <v>0</v>
      </c>
      <c r="I947" s="743">
        <f t="shared" si="55"/>
        <v>0</v>
      </c>
      <c r="J947" s="743"/>
      <c r="K947" s="869"/>
      <c r="L947" s="749"/>
      <c r="M947" s="869"/>
      <c r="N947" s="749"/>
      <c r="O947" s="749"/>
    </row>
    <row r="948" spans="3:15">
      <c r="C948" s="739">
        <f>IF(D898="","-",+C947+1)</f>
        <v>2066</v>
      </c>
      <c r="D948" s="691">
        <f t="shared" si="54"/>
        <v>0</v>
      </c>
      <c r="E948" s="746">
        <f t="shared" si="56"/>
        <v>0</v>
      </c>
      <c r="F948" s="691">
        <f t="shared" si="57"/>
        <v>0</v>
      </c>
      <c r="G948" s="1230">
        <f t="shared" si="58"/>
        <v>0</v>
      </c>
      <c r="H948" s="1233">
        <f t="shared" si="59"/>
        <v>0</v>
      </c>
      <c r="I948" s="743">
        <f t="shared" si="55"/>
        <v>0</v>
      </c>
      <c r="J948" s="743"/>
      <c r="K948" s="869"/>
      <c r="L948" s="749"/>
      <c r="M948" s="869"/>
      <c r="N948" s="749"/>
      <c r="O948" s="749"/>
    </row>
    <row r="949" spans="3:15">
      <c r="C949" s="739">
        <f>IF(D898="","-",+C948+1)</f>
        <v>2067</v>
      </c>
      <c r="D949" s="691">
        <f t="shared" si="54"/>
        <v>0</v>
      </c>
      <c r="E949" s="746">
        <f t="shared" si="56"/>
        <v>0</v>
      </c>
      <c r="F949" s="691">
        <f t="shared" si="57"/>
        <v>0</v>
      </c>
      <c r="G949" s="1230">
        <f t="shared" si="58"/>
        <v>0</v>
      </c>
      <c r="H949" s="1233">
        <f t="shared" si="59"/>
        <v>0</v>
      </c>
      <c r="I949" s="743">
        <f t="shared" si="55"/>
        <v>0</v>
      </c>
      <c r="J949" s="743"/>
      <c r="K949" s="869"/>
      <c r="L949" s="749"/>
      <c r="M949" s="869"/>
      <c r="N949" s="749"/>
      <c r="O949" s="749"/>
    </row>
    <row r="950" spans="3:15">
      <c r="C950" s="739">
        <f>IF(D898="","-",+C949+1)</f>
        <v>2068</v>
      </c>
      <c r="D950" s="691">
        <f t="shared" si="54"/>
        <v>0</v>
      </c>
      <c r="E950" s="746">
        <f t="shared" si="56"/>
        <v>0</v>
      </c>
      <c r="F950" s="691">
        <f t="shared" si="57"/>
        <v>0</v>
      </c>
      <c r="G950" s="1230">
        <f t="shared" si="58"/>
        <v>0</v>
      </c>
      <c r="H950" s="1233">
        <f t="shared" si="59"/>
        <v>0</v>
      </c>
      <c r="I950" s="743">
        <f t="shared" si="55"/>
        <v>0</v>
      </c>
      <c r="J950" s="743"/>
      <c r="K950" s="869"/>
      <c r="L950" s="749"/>
      <c r="M950" s="869"/>
      <c r="N950" s="749"/>
      <c r="O950" s="749"/>
    </row>
    <row r="951" spans="3:15">
      <c r="C951" s="739">
        <f>IF(D898="","-",+C950+1)</f>
        <v>2069</v>
      </c>
      <c r="D951" s="691">
        <f t="shared" si="54"/>
        <v>0</v>
      </c>
      <c r="E951" s="746">
        <f t="shared" si="56"/>
        <v>0</v>
      </c>
      <c r="F951" s="691">
        <f t="shared" si="57"/>
        <v>0</v>
      </c>
      <c r="G951" s="1230">
        <f t="shared" si="58"/>
        <v>0</v>
      </c>
      <c r="H951" s="1233">
        <f t="shared" si="59"/>
        <v>0</v>
      </c>
      <c r="I951" s="743">
        <f t="shared" si="55"/>
        <v>0</v>
      </c>
      <c r="J951" s="743"/>
      <c r="K951" s="869"/>
      <c r="L951" s="749"/>
      <c r="M951" s="869"/>
      <c r="N951" s="749"/>
      <c r="O951" s="749"/>
    </row>
    <row r="952" spans="3:15">
      <c r="C952" s="739">
        <f>IF(D898="","-",+C951+1)</f>
        <v>2070</v>
      </c>
      <c r="D952" s="691">
        <f t="shared" si="54"/>
        <v>0</v>
      </c>
      <c r="E952" s="746">
        <f t="shared" si="56"/>
        <v>0</v>
      </c>
      <c r="F952" s="691">
        <f t="shared" si="57"/>
        <v>0</v>
      </c>
      <c r="G952" s="1230">
        <f t="shared" si="58"/>
        <v>0</v>
      </c>
      <c r="H952" s="1233">
        <f t="shared" si="59"/>
        <v>0</v>
      </c>
      <c r="I952" s="743">
        <f t="shared" si="55"/>
        <v>0</v>
      </c>
      <c r="J952" s="743"/>
      <c r="K952" s="869"/>
      <c r="L952" s="749"/>
      <c r="M952" s="869"/>
      <c r="N952" s="749"/>
      <c r="O952" s="749"/>
    </row>
    <row r="953" spans="3:15">
      <c r="C953" s="739">
        <f>IF(D898="","-",+C952+1)</f>
        <v>2071</v>
      </c>
      <c r="D953" s="691">
        <f t="shared" si="54"/>
        <v>0</v>
      </c>
      <c r="E953" s="746">
        <f t="shared" si="56"/>
        <v>0</v>
      </c>
      <c r="F953" s="691">
        <f t="shared" si="57"/>
        <v>0</v>
      </c>
      <c r="G953" s="1230">
        <f t="shared" si="58"/>
        <v>0</v>
      </c>
      <c r="H953" s="1233">
        <f t="shared" si="59"/>
        <v>0</v>
      </c>
      <c r="I953" s="743">
        <f t="shared" si="55"/>
        <v>0</v>
      </c>
      <c r="J953" s="743"/>
      <c r="K953" s="869"/>
      <c r="L953" s="749"/>
      <c r="M953" s="869"/>
      <c r="N953" s="749"/>
      <c r="O953" s="749"/>
    </row>
    <row r="954" spans="3:15">
      <c r="C954" s="739">
        <f>IF(D898="","-",+C953+1)</f>
        <v>2072</v>
      </c>
      <c r="D954" s="691">
        <f t="shared" si="54"/>
        <v>0</v>
      </c>
      <c r="E954" s="746">
        <f t="shared" si="56"/>
        <v>0</v>
      </c>
      <c r="F954" s="691">
        <f t="shared" si="57"/>
        <v>0</v>
      </c>
      <c r="G954" s="1230">
        <f t="shared" si="58"/>
        <v>0</v>
      </c>
      <c r="H954" s="1233">
        <f t="shared" si="59"/>
        <v>0</v>
      </c>
      <c r="I954" s="743">
        <f t="shared" si="55"/>
        <v>0</v>
      </c>
      <c r="J954" s="743"/>
      <c r="K954" s="869"/>
      <c r="L954" s="749"/>
      <c r="M954" s="869"/>
      <c r="N954" s="749"/>
      <c r="O954" s="749"/>
    </row>
    <row r="955" spans="3:15">
      <c r="C955" s="739">
        <f>IF(D898="","-",+C954+1)</f>
        <v>2073</v>
      </c>
      <c r="D955" s="691">
        <f t="shared" si="54"/>
        <v>0</v>
      </c>
      <c r="E955" s="746">
        <f t="shared" si="56"/>
        <v>0</v>
      </c>
      <c r="F955" s="691">
        <f t="shared" si="57"/>
        <v>0</v>
      </c>
      <c r="G955" s="1230">
        <f t="shared" si="58"/>
        <v>0</v>
      </c>
      <c r="H955" s="1233">
        <f t="shared" si="59"/>
        <v>0</v>
      </c>
      <c r="I955" s="743">
        <f t="shared" si="55"/>
        <v>0</v>
      </c>
      <c r="J955" s="743"/>
      <c r="K955" s="869"/>
      <c r="L955" s="749"/>
      <c r="M955" s="869"/>
      <c r="N955" s="749"/>
      <c r="O955" s="749"/>
    </row>
    <row r="956" spans="3:15">
      <c r="C956" s="739">
        <f>IF(D898="","-",+C955+1)</f>
        <v>2074</v>
      </c>
      <c r="D956" s="691">
        <f t="shared" si="54"/>
        <v>0</v>
      </c>
      <c r="E956" s="746">
        <f t="shared" si="56"/>
        <v>0</v>
      </c>
      <c r="F956" s="691">
        <f t="shared" si="57"/>
        <v>0</v>
      </c>
      <c r="G956" s="1230">
        <f t="shared" si="58"/>
        <v>0</v>
      </c>
      <c r="H956" s="1233">
        <f t="shared" si="59"/>
        <v>0</v>
      </c>
      <c r="I956" s="743">
        <f t="shared" si="55"/>
        <v>0</v>
      </c>
      <c r="J956" s="743"/>
      <c r="K956" s="869"/>
      <c r="L956" s="749"/>
      <c r="M956" s="869"/>
      <c r="N956" s="749"/>
      <c r="O956" s="749"/>
    </row>
    <row r="957" spans="3:15">
      <c r="C957" s="739">
        <f>IF(D898="","-",+C956+1)</f>
        <v>2075</v>
      </c>
      <c r="D957" s="691">
        <f t="shared" si="54"/>
        <v>0</v>
      </c>
      <c r="E957" s="746">
        <f t="shared" si="56"/>
        <v>0</v>
      </c>
      <c r="F957" s="691">
        <f t="shared" si="57"/>
        <v>0</v>
      </c>
      <c r="G957" s="1230">
        <f t="shared" si="58"/>
        <v>0</v>
      </c>
      <c r="H957" s="1233">
        <f t="shared" si="59"/>
        <v>0</v>
      </c>
      <c r="I957" s="743">
        <f t="shared" si="55"/>
        <v>0</v>
      </c>
      <c r="J957" s="743"/>
      <c r="K957" s="869"/>
      <c r="L957" s="749"/>
      <c r="M957" s="869"/>
      <c r="N957" s="749"/>
      <c r="O957" s="749"/>
    </row>
    <row r="958" spans="3:15">
      <c r="C958" s="739">
        <f>IF(D898="","-",+C957+1)</f>
        <v>2076</v>
      </c>
      <c r="D958" s="691">
        <f t="shared" si="54"/>
        <v>0</v>
      </c>
      <c r="E958" s="746">
        <f t="shared" si="56"/>
        <v>0</v>
      </c>
      <c r="F958" s="691">
        <f t="shared" si="57"/>
        <v>0</v>
      </c>
      <c r="G958" s="1230">
        <f t="shared" si="58"/>
        <v>0</v>
      </c>
      <c r="H958" s="1233">
        <f t="shared" si="59"/>
        <v>0</v>
      </c>
      <c r="I958" s="743">
        <f t="shared" si="55"/>
        <v>0</v>
      </c>
      <c r="J958" s="743"/>
      <c r="K958" s="869"/>
      <c r="L958" s="749"/>
      <c r="M958" s="869"/>
      <c r="N958" s="749"/>
      <c r="O958" s="749"/>
    </row>
    <row r="959" spans="3:15">
      <c r="C959" s="739">
        <f>IF(D898="","-",+C958+1)</f>
        <v>2077</v>
      </c>
      <c r="D959" s="691">
        <f t="shared" si="54"/>
        <v>0</v>
      </c>
      <c r="E959" s="746">
        <f t="shared" si="56"/>
        <v>0</v>
      </c>
      <c r="F959" s="691">
        <f t="shared" si="57"/>
        <v>0</v>
      </c>
      <c r="G959" s="1230">
        <f t="shared" si="58"/>
        <v>0</v>
      </c>
      <c r="H959" s="1233">
        <f t="shared" si="59"/>
        <v>0</v>
      </c>
      <c r="I959" s="743">
        <f t="shared" si="55"/>
        <v>0</v>
      </c>
      <c r="J959" s="743"/>
      <c r="K959" s="869"/>
      <c r="L959" s="749"/>
      <c r="M959" s="869"/>
      <c r="N959" s="749"/>
      <c r="O959" s="749"/>
    </row>
    <row r="960" spans="3:15">
      <c r="C960" s="739">
        <f>IF(D898="","-",+C959+1)</f>
        <v>2078</v>
      </c>
      <c r="D960" s="691">
        <f t="shared" si="54"/>
        <v>0</v>
      </c>
      <c r="E960" s="746">
        <f t="shared" si="56"/>
        <v>0</v>
      </c>
      <c r="F960" s="691">
        <f t="shared" si="57"/>
        <v>0</v>
      </c>
      <c r="G960" s="1230">
        <f t="shared" si="58"/>
        <v>0</v>
      </c>
      <c r="H960" s="1233">
        <f t="shared" si="59"/>
        <v>0</v>
      </c>
      <c r="I960" s="743">
        <f t="shared" si="55"/>
        <v>0</v>
      </c>
      <c r="J960" s="743"/>
      <c r="K960" s="869"/>
      <c r="L960" s="749"/>
      <c r="M960" s="869"/>
      <c r="N960" s="749"/>
      <c r="O960" s="749"/>
    </row>
    <row r="961" spans="1:15">
      <c r="C961" s="739">
        <f>IF(D898="","-",+C960+1)</f>
        <v>2079</v>
      </c>
      <c r="D961" s="691">
        <f t="shared" si="54"/>
        <v>0</v>
      </c>
      <c r="E961" s="746">
        <f t="shared" si="56"/>
        <v>0</v>
      </c>
      <c r="F961" s="691">
        <f t="shared" si="57"/>
        <v>0</v>
      </c>
      <c r="G961" s="1230">
        <f t="shared" si="58"/>
        <v>0</v>
      </c>
      <c r="H961" s="1233">
        <f t="shared" si="59"/>
        <v>0</v>
      </c>
      <c r="I961" s="743">
        <f t="shared" si="55"/>
        <v>0</v>
      </c>
      <c r="J961" s="743"/>
      <c r="K961" s="869"/>
      <c r="L961" s="749"/>
      <c r="M961" s="869"/>
      <c r="N961" s="749"/>
      <c r="O961" s="749"/>
    </row>
    <row r="962" spans="1:15">
      <c r="C962" s="739">
        <f>IF(D898="","-",+C961+1)</f>
        <v>2080</v>
      </c>
      <c r="D962" s="691">
        <f t="shared" si="54"/>
        <v>0</v>
      </c>
      <c r="E962" s="746">
        <f t="shared" si="56"/>
        <v>0</v>
      </c>
      <c r="F962" s="691">
        <f t="shared" si="57"/>
        <v>0</v>
      </c>
      <c r="G962" s="1230">
        <f t="shared" si="58"/>
        <v>0</v>
      </c>
      <c r="H962" s="1233">
        <f t="shared" si="59"/>
        <v>0</v>
      </c>
      <c r="I962" s="743">
        <f t="shared" si="55"/>
        <v>0</v>
      </c>
      <c r="J962" s="743"/>
      <c r="K962" s="869"/>
      <c r="L962" s="749"/>
      <c r="M962" s="869"/>
      <c r="N962" s="749"/>
      <c r="O962" s="749"/>
    </row>
    <row r="963" spans="1:15" ht="13.5" thickBot="1">
      <c r="C963" s="750">
        <f>IF(D898="","-",+C962+1)</f>
        <v>2081</v>
      </c>
      <c r="D963" s="751">
        <f t="shared" si="54"/>
        <v>0</v>
      </c>
      <c r="E963" s="1241">
        <f t="shared" si="56"/>
        <v>0</v>
      </c>
      <c r="F963" s="1220">
        <f t="shared" si="57"/>
        <v>0</v>
      </c>
      <c r="G963" s="1241">
        <f t="shared" si="58"/>
        <v>0</v>
      </c>
      <c r="H963" s="1220">
        <f t="shared" si="59"/>
        <v>0</v>
      </c>
      <c r="I963" s="754">
        <f t="shared" si="55"/>
        <v>0</v>
      </c>
      <c r="J963" s="743"/>
      <c r="K963" s="870"/>
      <c r="L963" s="756"/>
      <c r="M963" s="870"/>
      <c r="N963" s="756"/>
      <c r="O963" s="756"/>
    </row>
    <row r="964" spans="1:15">
      <c r="C964" s="691" t="s">
        <v>289</v>
      </c>
      <c r="D964" s="1211"/>
      <c r="E964" s="1211">
        <f>SUM(E904:E963)</f>
        <v>7684389.4200000009</v>
      </c>
      <c r="F964" s="1211"/>
      <c r="G964" s="1211">
        <f>SUM(G904:G963)</f>
        <v>25228321.413666133</v>
      </c>
      <c r="H964" s="1211">
        <f>SUM(H904:H963)</f>
        <v>25228321.413666133</v>
      </c>
      <c r="I964" s="1211">
        <f>SUM(I904:I963)</f>
        <v>0</v>
      </c>
      <c r="J964" s="1211"/>
      <c r="K964" s="1211"/>
      <c r="L964" s="1211"/>
      <c r="M964" s="1211"/>
      <c r="N964" s="1211"/>
      <c r="O964" s="558"/>
    </row>
    <row r="965" spans="1:15">
      <c r="D965" s="581"/>
      <c r="E965" s="558"/>
      <c r="F965" s="558"/>
      <c r="G965" s="558"/>
      <c r="H965" s="1210"/>
      <c r="I965" s="1210"/>
      <c r="J965" s="1211"/>
      <c r="K965" s="1210"/>
      <c r="L965" s="1210"/>
      <c r="M965" s="1210"/>
      <c r="N965" s="1210"/>
      <c r="O965" s="558"/>
    </row>
    <row r="966" spans="1:15">
      <c r="C966" s="1242" t="s">
        <v>926</v>
      </c>
      <c r="D966" s="581"/>
      <c r="E966" s="558"/>
      <c r="F966" s="558"/>
      <c r="G966" s="558"/>
      <c r="H966" s="1210"/>
      <c r="I966" s="1210"/>
      <c r="J966" s="1211"/>
      <c r="K966" s="1210"/>
      <c r="L966" s="1210"/>
      <c r="M966" s="1210"/>
      <c r="N966" s="1210"/>
      <c r="O966" s="558"/>
    </row>
    <row r="967" spans="1:15">
      <c r="D967" s="581"/>
      <c r="E967" s="558"/>
      <c r="F967" s="558"/>
      <c r="G967" s="558"/>
      <c r="H967" s="1210"/>
      <c r="I967" s="1210"/>
      <c r="J967" s="1211"/>
      <c r="K967" s="1210"/>
      <c r="L967" s="1210"/>
      <c r="M967" s="1210"/>
      <c r="N967" s="1210"/>
      <c r="O967" s="558"/>
    </row>
    <row r="968" spans="1:15">
      <c r="C968" s="704" t="s">
        <v>927</v>
      </c>
      <c r="D968" s="691"/>
      <c r="E968" s="691"/>
      <c r="F968" s="691"/>
      <c r="G968" s="1211"/>
      <c r="H968" s="1211"/>
      <c r="I968" s="692"/>
      <c r="J968" s="692"/>
      <c r="K968" s="692"/>
      <c r="L968" s="692"/>
      <c r="M968" s="692"/>
      <c r="N968" s="692"/>
      <c r="O968" s="558"/>
    </row>
    <row r="969" spans="1:15">
      <c r="C969" s="690" t="s">
        <v>477</v>
      </c>
      <c r="D969" s="691"/>
      <c r="E969" s="691"/>
      <c r="F969" s="691"/>
      <c r="G969" s="1211"/>
      <c r="H969" s="1211"/>
      <c r="I969" s="692"/>
      <c r="J969" s="692"/>
      <c r="K969" s="692"/>
      <c r="L969" s="692"/>
      <c r="M969" s="692"/>
      <c r="N969" s="692"/>
      <c r="O969" s="558"/>
    </row>
    <row r="970" spans="1:15">
      <c r="C970" s="690" t="s">
        <v>290</v>
      </c>
      <c r="D970" s="691"/>
      <c r="E970" s="691"/>
      <c r="F970" s="691"/>
      <c r="G970" s="1211"/>
      <c r="H970" s="1211"/>
      <c r="I970" s="692"/>
      <c r="J970" s="692"/>
      <c r="K970" s="692"/>
      <c r="L970" s="692"/>
      <c r="M970" s="692"/>
      <c r="N970" s="692"/>
      <c r="O970" s="558"/>
    </row>
    <row r="971" spans="1:15">
      <c r="C971" s="690"/>
      <c r="D971" s="691"/>
      <c r="E971" s="691"/>
      <c r="F971" s="691"/>
      <c r="G971" s="1211"/>
      <c r="H971" s="1211"/>
      <c r="I971" s="692"/>
      <c r="J971" s="692"/>
      <c r="K971" s="692"/>
      <c r="L971" s="692"/>
      <c r="M971" s="692"/>
      <c r="N971" s="692"/>
      <c r="O971" s="558"/>
    </row>
    <row r="972" spans="1:15">
      <c r="C972" s="1601" t="s">
        <v>461</v>
      </c>
      <c r="D972" s="1601"/>
      <c r="E972" s="1601"/>
      <c r="F972" s="1601"/>
      <c r="G972" s="1601"/>
      <c r="H972" s="1601"/>
      <c r="I972" s="1601"/>
      <c r="J972" s="1601"/>
      <c r="K972" s="1601"/>
      <c r="L972" s="1601"/>
      <c r="M972" s="1601"/>
      <c r="N972" s="1601"/>
      <c r="O972" s="1601"/>
    </row>
    <row r="973" spans="1:15">
      <c r="C973" s="1601"/>
      <c r="D973" s="1601"/>
      <c r="E973" s="1601"/>
      <c r="F973" s="1601"/>
      <c r="G973" s="1601"/>
      <c r="H973" s="1601"/>
      <c r="I973" s="1601"/>
      <c r="J973" s="1601"/>
      <c r="K973" s="1601"/>
      <c r="L973" s="1601"/>
      <c r="M973" s="1601"/>
      <c r="N973" s="1601"/>
      <c r="O973" s="1601"/>
    </row>
    <row r="974" spans="1:15" ht="20.25">
      <c r="A974" s="693" t="s">
        <v>923</v>
      </c>
      <c r="B974" s="594"/>
      <c r="C974" s="673"/>
      <c r="D974" s="581"/>
      <c r="E974" s="558"/>
      <c r="F974" s="663"/>
      <c r="G974" s="558"/>
      <c r="H974" s="1210"/>
      <c r="K974" s="694"/>
      <c r="L974" s="694"/>
      <c r="M974" s="694"/>
      <c r="N974" s="609" t="str">
        <f>"Page "&amp;P974&amp;" of "</f>
        <v xml:space="preserve">Page  of </v>
      </c>
      <c r="O974" s="610">
        <f>COUNT(P$6:P$59527)</f>
        <v>10</v>
      </c>
    </row>
    <row r="975" spans="1:15">
      <c r="B975" s="594"/>
      <c r="C975" s="558"/>
      <c r="D975" s="581"/>
      <c r="E975" s="558"/>
      <c r="F975" s="558"/>
      <c r="G975" s="558"/>
      <c r="H975" s="1210"/>
      <c r="I975" s="558"/>
      <c r="J975" s="606"/>
      <c r="K975" s="558"/>
      <c r="L975" s="558"/>
      <c r="M975" s="558"/>
      <c r="N975" s="558"/>
      <c r="O975" s="558"/>
    </row>
    <row r="976" spans="1:15" ht="18">
      <c r="B976" s="613" t="s">
        <v>175</v>
      </c>
      <c r="C976" s="695" t="s">
        <v>291</v>
      </c>
      <c r="D976" s="581"/>
      <c r="E976" s="558"/>
      <c r="F976" s="558"/>
      <c r="G976" s="558"/>
      <c r="H976" s="1210"/>
      <c r="I976" s="1210"/>
      <c r="J976" s="1211"/>
      <c r="K976" s="1210"/>
      <c r="L976" s="1210"/>
      <c r="M976" s="1210"/>
      <c r="N976" s="1210"/>
      <c r="O976" s="558"/>
    </row>
    <row r="977" spans="1:15" ht="18.75">
      <c r="B977" s="613"/>
      <c r="C977" s="612"/>
      <c r="D977" s="581"/>
      <c r="E977" s="558"/>
      <c r="F977" s="558"/>
      <c r="G977" s="558"/>
      <c r="H977" s="1210"/>
      <c r="I977" s="1210"/>
      <c r="J977" s="1211"/>
      <c r="K977" s="1210"/>
      <c r="L977" s="1210"/>
      <c r="M977" s="1210"/>
      <c r="N977" s="1210"/>
      <c r="O977" s="558"/>
    </row>
    <row r="978" spans="1:15" ht="18.75">
      <c r="B978" s="613"/>
      <c r="C978" s="612" t="s">
        <v>292</v>
      </c>
      <c r="D978" s="581"/>
      <c r="E978" s="558"/>
      <c r="F978" s="558"/>
      <c r="G978" s="558"/>
      <c r="H978" s="1210"/>
      <c r="I978" s="1210"/>
      <c r="J978" s="1211"/>
      <c r="K978" s="1210"/>
      <c r="L978" s="1210"/>
      <c r="M978" s="1210"/>
      <c r="N978" s="1210"/>
      <c r="O978" s="558"/>
    </row>
    <row r="979" spans="1:15" ht="15.75" thickBot="1">
      <c r="C979" s="411"/>
      <c r="D979" s="581"/>
      <c r="E979" s="558"/>
      <c r="F979" s="558"/>
      <c r="G979" s="558"/>
      <c r="H979" s="1210"/>
      <c r="I979" s="1210"/>
      <c r="J979" s="1211"/>
      <c r="K979" s="1210"/>
      <c r="L979" s="1210"/>
      <c r="M979" s="1210"/>
      <c r="N979" s="1210"/>
      <c r="O979" s="558"/>
    </row>
    <row r="980" spans="1:15" ht="15.75">
      <c r="C980" s="614" t="s">
        <v>293</v>
      </c>
      <c r="D980" s="581"/>
      <c r="E980" s="558"/>
      <c r="F980" s="558"/>
      <c r="G980" s="1212"/>
      <c r="H980" s="558" t="s">
        <v>272</v>
      </c>
      <c r="I980" s="558"/>
      <c r="J980" s="606"/>
      <c r="K980" s="696" t="s">
        <v>297</v>
      </c>
      <c r="L980" s="697"/>
      <c r="M980" s="698"/>
      <c r="N980" s="1213">
        <f>VLOOKUP(I986,C993:O1052,5)</f>
        <v>26811.100445821277</v>
      </c>
      <c r="O980" s="558"/>
    </row>
    <row r="981" spans="1:15" ht="15.75">
      <c r="C981" s="614"/>
      <c r="D981" s="581"/>
      <c r="E981" s="558"/>
      <c r="F981" s="558"/>
      <c r="G981" s="558"/>
      <c r="H981" s="1214"/>
      <c r="I981" s="1214"/>
      <c r="J981" s="1215"/>
      <c r="K981" s="701" t="s">
        <v>298</v>
      </c>
      <c r="L981" s="1216"/>
      <c r="M981" s="606"/>
      <c r="N981" s="1217">
        <f>VLOOKUP(I986,C993:O1052,6)</f>
        <v>26811.100445821277</v>
      </c>
      <c r="O981" s="558"/>
    </row>
    <row r="982" spans="1:15" ht="13.5" thickBot="1">
      <c r="C982" s="702" t="s">
        <v>294</v>
      </c>
      <c r="D982" s="1610" t="s">
        <v>1147</v>
      </c>
      <c r="E982" s="1611"/>
      <c r="F982" s="1611"/>
      <c r="G982" s="1611"/>
      <c r="H982" s="1611"/>
      <c r="I982" s="1611"/>
      <c r="J982" s="1211"/>
      <c r="K982" s="1218" t="s">
        <v>451</v>
      </c>
      <c r="L982" s="1219"/>
      <c r="M982" s="1219"/>
      <c r="N982" s="1220">
        <f>+N981-N980</f>
        <v>0</v>
      </c>
      <c r="O982" s="558"/>
    </row>
    <row r="983" spans="1:15">
      <c r="C983" s="704"/>
      <c r="D983" s="1611"/>
      <c r="E983" s="1611"/>
      <c r="F983" s="1611"/>
      <c r="G983" s="1611"/>
      <c r="H983" s="1611"/>
      <c r="I983" s="1611"/>
      <c r="J983" s="1211"/>
      <c r="K983" s="1210"/>
      <c r="L983" s="1210"/>
      <c r="M983" s="1210"/>
      <c r="N983" s="1210"/>
      <c r="O983" s="558"/>
    </row>
    <row r="984" spans="1:15" ht="13.5" thickBot="1">
      <c r="C984" s="707"/>
      <c r="D984" s="708"/>
      <c r="E984" s="706"/>
      <c r="F984" s="706"/>
      <c r="G984" s="706"/>
      <c r="H984" s="706"/>
      <c r="I984" s="706"/>
      <c r="J984" s="1351"/>
      <c r="K984" s="706"/>
      <c r="L984" s="706"/>
      <c r="M984" s="706"/>
      <c r="N984" s="706"/>
      <c r="O984" s="594"/>
    </row>
    <row r="985" spans="1:15" ht="13.5" thickBot="1">
      <c r="C985" s="710" t="s">
        <v>295</v>
      </c>
      <c r="D985" s="711"/>
      <c r="E985" s="711"/>
      <c r="F985" s="711"/>
      <c r="G985" s="711"/>
      <c r="H985" s="711"/>
      <c r="I985" s="712"/>
      <c r="J985" s="713"/>
      <c r="K985" s="558"/>
      <c r="L985" s="558"/>
      <c r="M985" s="558"/>
      <c r="N985" s="558"/>
      <c r="O985" s="714"/>
    </row>
    <row r="986" spans="1:15" ht="15">
      <c r="C986" s="716" t="s">
        <v>273</v>
      </c>
      <c r="D986" s="1221">
        <v>190447.32</v>
      </c>
      <c r="E986" s="673" t="s">
        <v>274</v>
      </c>
      <c r="G986" s="717"/>
      <c r="H986" s="717"/>
      <c r="I986" s="718">
        <f>I897</f>
        <v>2025</v>
      </c>
      <c r="J986" s="604"/>
      <c r="K986" s="1600" t="s">
        <v>460</v>
      </c>
      <c r="L986" s="1600"/>
      <c r="M986" s="1600"/>
      <c r="N986" s="1600"/>
      <c r="O986" s="1600"/>
    </row>
    <row r="987" spans="1:15">
      <c r="C987" s="716" t="s">
        <v>276</v>
      </c>
      <c r="D987" s="1515">
        <v>2024</v>
      </c>
      <c r="E987" s="716" t="s">
        <v>277</v>
      </c>
      <c r="F987" s="717"/>
      <c r="H987" s="345"/>
      <c r="I987" s="867">
        <f>IF(G980="",0,$F$15)</f>
        <v>0</v>
      </c>
      <c r="J987" s="719"/>
      <c r="K987" s="1211" t="s">
        <v>460</v>
      </c>
    </row>
    <row r="988" spans="1:15">
      <c r="C988" s="716" t="s">
        <v>278</v>
      </c>
      <c r="D988" s="1221">
        <v>4</v>
      </c>
      <c r="E988" s="716" t="s">
        <v>279</v>
      </c>
      <c r="F988" s="717"/>
      <c r="H988" s="345"/>
      <c r="I988" s="720">
        <f>$G$70</f>
        <v>0.11808937687765908</v>
      </c>
      <c r="J988" s="721"/>
      <c r="K988" s="345" t="str">
        <f>"          INPUT PROJECTED ARR (WITH &amp; WITHOUT INCENTIVES) FROM EACH PRIOR YEAR"</f>
        <v xml:space="preserve">          INPUT PROJECTED ARR (WITH &amp; WITHOUT INCENTIVES) FROM EACH PRIOR YEAR</v>
      </c>
    </row>
    <row r="989" spans="1:15">
      <c r="C989" s="716" t="s">
        <v>280</v>
      </c>
      <c r="D989" s="722">
        <f>G$79</f>
        <v>38</v>
      </c>
      <c r="E989" s="716" t="s">
        <v>281</v>
      </c>
      <c r="F989" s="717"/>
      <c r="H989" s="345"/>
      <c r="I989" s="720">
        <f>IF(G980="",I988,$G$67)</f>
        <v>0.11808937687765908</v>
      </c>
      <c r="J989" s="723"/>
      <c r="K989" s="345" t="s">
        <v>358</v>
      </c>
    </row>
    <row r="990" spans="1:15" ht="13.5" thickBot="1">
      <c r="C990" s="716" t="s">
        <v>282</v>
      </c>
      <c r="D990" s="866" t="s">
        <v>925</v>
      </c>
      <c r="E990" s="724" t="s">
        <v>283</v>
      </c>
      <c r="F990" s="725"/>
      <c r="G990" s="726"/>
      <c r="H990" s="726"/>
      <c r="I990" s="1220">
        <f>IF(D986=0,0,D986/D989)</f>
        <v>5011.7715789473687</v>
      </c>
      <c r="J990" s="1211"/>
      <c r="K990" s="1211" t="s">
        <v>364</v>
      </c>
      <c r="L990" s="1211"/>
      <c r="M990" s="1211"/>
      <c r="N990" s="1211"/>
      <c r="O990" s="606"/>
    </row>
    <row r="991" spans="1:15" ht="51">
      <c r="A991" s="1350"/>
      <c r="B991" s="1222"/>
      <c r="C991" s="727" t="s">
        <v>273</v>
      </c>
      <c r="D991" s="1223" t="s">
        <v>284</v>
      </c>
      <c r="E991" s="1224" t="s">
        <v>285</v>
      </c>
      <c r="F991" s="1223" t="s">
        <v>286</v>
      </c>
      <c r="G991" s="1224" t="s">
        <v>357</v>
      </c>
      <c r="H991" s="1225" t="s">
        <v>357</v>
      </c>
      <c r="I991" s="727" t="s">
        <v>296</v>
      </c>
      <c r="J991" s="731"/>
      <c r="K991" s="1224" t="s">
        <v>366</v>
      </c>
      <c r="L991" s="1226"/>
      <c r="M991" s="1224" t="s">
        <v>366</v>
      </c>
      <c r="N991" s="1226"/>
      <c r="O991" s="1226"/>
    </row>
    <row r="992" spans="1:15" ht="13.5" thickBot="1">
      <c r="C992" s="733" t="s">
        <v>178</v>
      </c>
      <c r="D992" s="734" t="s">
        <v>179</v>
      </c>
      <c r="E992" s="733" t="s">
        <v>38</v>
      </c>
      <c r="F992" s="734" t="s">
        <v>179</v>
      </c>
      <c r="G992" s="1227" t="s">
        <v>299</v>
      </c>
      <c r="H992" s="1228" t="s">
        <v>301</v>
      </c>
      <c r="I992" s="737" t="s">
        <v>390</v>
      </c>
      <c r="J992" s="738"/>
      <c r="K992" s="1227" t="s">
        <v>288</v>
      </c>
      <c r="L992" s="1229"/>
      <c r="M992" s="1227" t="s">
        <v>301</v>
      </c>
      <c r="N992" s="1229"/>
      <c r="O992" s="1229"/>
    </row>
    <row r="993" spans="3:15">
      <c r="C993" s="739">
        <f>IF(D987= "","-",D987)</f>
        <v>2024</v>
      </c>
      <c r="D993" s="691">
        <f>+D986</f>
        <v>190447.32</v>
      </c>
      <c r="E993" s="1230">
        <f>+I990/12*(12-D988)</f>
        <v>3341.181052631579</v>
      </c>
      <c r="F993" s="691">
        <f>+D993-E993</f>
        <v>187106.13894736842</v>
      </c>
      <c r="G993" s="1231">
        <f>+$I$810*((D993+F993)/2)+E993</f>
        <v>25633.707405181365</v>
      </c>
      <c r="H993" s="1232">
        <f>+$I$811*((D993+F993)/2)+E993</f>
        <v>25633.707405181365</v>
      </c>
      <c r="I993" s="743">
        <f>+H993-G993</f>
        <v>0</v>
      </c>
      <c r="J993" s="743"/>
      <c r="K993" s="869">
        <v>26057.142586534792</v>
      </c>
      <c r="L993" s="745"/>
      <c r="M993" s="869">
        <v>26057.142586534792</v>
      </c>
      <c r="N993" s="745"/>
      <c r="O993" s="745"/>
    </row>
    <row r="994" spans="3:15">
      <c r="C994" s="739">
        <f>IF(D987="","-",+C993+1)</f>
        <v>2025</v>
      </c>
      <c r="D994" s="691">
        <f t="shared" ref="D994:D1052" si="60">F993</f>
        <v>187106.13894736842</v>
      </c>
      <c r="E994" s="746">
        <f>IF(D994&gt;$I$990,$I$990,D994)</f>
        <v>5011.7715789473687</v>
      </c>
      <c r="F994" s="691">
        <f>+D994-E994</f>
        <v>182094.36736842105</v>
      </c>
      <c r="G994" s="1230">
        <f>+$I$810*((D994+F994)/2)+E994</f>
        <v>26811.100445821277</v>
      </c>
      <c r="H994" s="1233">
        <f>+$I$810*((D994+F994)/2)+E994</f>
        <v>26811.100445821277</v>
      </c>
      <c r="I994" s="743">
        <f t="shared" ref="I994:I1052" si="61">+H994-G994</f>
        <v>0</v>
      </c>
      <c r="J994" s="743"/>
      <c r="K994" s="869">
        <v>0</v>
      </c>
      <c r="L994" s="749"/>
      <c r="M994" s="869">
        <v>0</v>
      </c>
      <c r="N994" s="749"/>
      <c r="O994" s="749"/>
    </row>
    <row r="995" spans="3:15">
      <c r="C995" s="1247">
        <f>IF(D987="","-",+C994+1)</f>
        <v>2026</v>
      </c>
      <c r="D995" s="1235">
        <f t="shared" si="60"/>
        <v>182094.36736842105</v>
      </c>
      <c r="E995" s="746">
        <f t="shared" ref="E995:E1052" si="62">IF(D995&gt;$I$990,$I$990,D995)</f>
        <v>5011.7715789473687</v>
      </c>
      <c r="F995" s="691">
        <f t="shared" ref="F995:F1052" si="63">+D995-E995</f>
        <v>177082.59578947368</v>
      </c>
      <c r="G995" s="1230">
        <f t="shared" ref="G995:G1052" si="64">+$I$810*((D995+F995)/2)+E995</f>
        <v>26219.263463010218</v>
      </c>
      <c r="H995" s="1233">
        <f t="shared" ref="H995:H1052" si="65">+$I$810*((D995+F995)/2)+E995</f>
        <v>26219.263463010218</v>
      </c>
      <c r="I995" s="1239">
        <f t="shared" si="61"/>
        <v>0</v>
      </c>
      <c r="J995" s="743"/>
      <c r="K995" s="869"/>
      <c r="L995" s="749"/>
      <c r="M995" s="869"/>
      <c r="N995" s="749"/>
      <c r="O995" s="749"/>
    </row>
    <row r="996" spans="3:15">
      <c r="C996" s="739">
        <f>IF(D987="","-",+C995+1)</f>
        <v>2027</v>
      </c>
      <c r="D996" s="691">
        <f t="shared" si="60"/>
        <v>177082.59578947368</v>
      </c>
      <c r="E996" s="746">
        <f t="shared" si="62"/>
        <v>5011.7715789473687</v>
      </c>
      <c r="F996" s="691">
        <f t="shared" si="63"/>
        <v>172070.82421052631</v>
      </c>
      <c r="G996" s="1230">
        <f t="shared" si="64"/>
        <v>25627.426480199163</v>
      </c>
      <c r="H996" s="1233">
        <f t="shared" si="65"/>
        <v>25627.426480199163</v>
      </c>
      <c r="I996" s="743">
        <f t="shared" si="61"/>
        <v>0</v>
      </c>
      <c r="J996" s="743"/>
      <c r="K996" s="869"/>
      <c r="L996" s="749"/>
      <c r="M996" s="869"/>
      <c r="N996" s="749"/>
      <c r="O996" s="749"/>
    </row>
    <row r="997" spans="3:15">
      <c r="C997" s="739">
        <f>IF(D987="","-",+C996+1)</f>
        <v>2028</v>
      </c>
      <c r="D997" s="691">
        <f t="shared" si="60"/>
        <v>172070.82421052631</v>
      </c>
      <c r="E997" s="746">
        <f t="shared" si="62"/>
        <v>5011.7715789473687</v>
      </c>
      <c r="F997" s="691">
        <f t="shared" si="63"/>
        <v>167059.05263157893</v>
      </c>
      <c r="G997" s="1230">
        <f t="shared" si="64"/>
        <v>25035.589497388108</v>
      </c>
      <c r="H997" s="1233">
        <f t="shared" si="65"/>
        <v>25035.589497388108</v>
      </c>
      <c r="I997" s="743">
        <f t="shared" si="61"/>
        <v>0</v>
      </c>
      <c r="J997" s="743"/>
      <c r="K997" s="869"/>
      <c r="L997" s="749"/>
      <c r="M997" s="869"/>
      <c r="N997" s="749"/>
      <c r="O997" s="749"/>
    </row>
    <row r="998" spans="3:15">
      <c r="C998" s="739">
        <f>IF(D987="","-",+C997+1)</f>
        <v>2029</v>
      </c>
      <c r="D998" s="691">
        <f t="shared" si="60"/>
        <v>167059.05263157893</v>
      </c>
      <c r="E998" s="746">
        <f t="shared" si="62"/>
        <v>5011.7715789473687</v>
      </c>
      <c r="F998" s="691">
        <f t="shared" si="63"/>
        <v>162047.28105263156</v>
      </c>
      <c r="G998" s="1230">
        <f t="shared" si="64"/>
        <v>24443.752514577049</v>
      </c>
      <c r="H998" s="1233">
        <f t="shared" si="65"/>
        <v>24443.752514577049</v>
      </c>
      <c r="I998" s="743">
        <f t="shared" si="61"/>
        <v>0</v>
      </c>
      <c r="J998" s="743"/>
      <c r="K998" s="869"/>
      <c r="L998" s="749"/>
      <c r="M998" s="869"/>
      <c r="N998" s="749"/>
      <c r="O998" s="749"/>
    </row>
    <row r="999" spans="3:15">
      <c r="C999" s="739">
        <f>IF(D987="","-",+C998+1)</f>
        <v>2030</v>
      </c>
      <c r="D999" s="691">
        <f t="shared" si="60"/>
        <v>162047.28105263156</v>
      </c>
      <c r="E999" s="746">
        <f t="shared" si="62"/>
        <v>5011.7715789473687</v>
      </c>
      <c r="F999" s="691">
        <f t="shared" si="63"/>
        <v>157035.50947368419</v>
      </c>
      <c r="G999" s="1230">
        <f t="shared" si="64"/>
        <v>23851.915531765993</v>
      </c>
      <c r="H999" s="1233">
        <f t="shared" si="65"/>
        <v>23851.915531765993</v>
      </c>
      <c r="I999" s="743">
        <f t="shared" si="61"/>
        <v>0</v>
      </c>
      <c r="J999" s="743"/>
      <c r="K999" s="869"/>
      <c r="L999" s="749"/>
      <c r="M999" s="869"/>
      <c r="N999" s="749"/>
      <c r="O999" s="749"/>
    </row>
    <row r="1000" spans="3:15">
      <c r="C1000" s="739">
        <f>IF(D987="","-",+C999+1)</f>
        <v>2031</v>
      </c>
      <c r="D1000" s="691">
        <f t="shared" si="60"/>
        <v>157035.50947368419</v>
      </c>
      <c r="E1000" s="746">
        <f t="shared" si="62"/>
        <v>5011.7715789473687</v>
      </c>
      <c r="F1000" s="691">
        <f t="shared" si="63"/>
        <v>152023.73789473681</v>
      </c>
      <c r="G1000" s="1230">
        <f t="shared" si="64"/>
        <v>23260.078548954934</v>
      </c>
      <c r="H1000" s="1233">
        <f t="shared" si="65"/>
        <v>23260.078548954934</v>
      </c>
      <c r="I1000" s="743">
        <f t="shared" si="61"/>
        <v>0</v>
      </c>
      <c r="J1000" s="743"/>
      <c r="K1000" s="869"/>
      <c r="L1000" s="749"/>
      <c r="M1000" s="869"/>
      <c r="N1000" s="749"/>
      <c r="O1000" s="749"/>
    </row>
    <row r="1001" spans="3:15">
      <c r="C1001" s="739">
        <f>IF(D987="","-",+C1000+1)</f>
        <v>2032</v>
      </c>
      <c r="D1001" s="691">
        <f t="shared" si="60"/>
        <v>152023.73789473681</v>
      </c>
      <c r="E1001" s="746">
        <f t="shared" si="62"/>
        <v>5011.7715789473687</v>
      </c>
      <c r="F1001" s="691">
        <f t="shared" si="63"/>
        <v>147011.96631578944</v>
      </c>
      <c r="G1001" s="1230">
        <f t="shared" si="64"/>
        <v>22668.241566143879</v>
      </c>
      <c r="H1001" s="1233">
        <f t="shared" si="65"/>
        <v>22668.241566143879</v>
      </c>
      <c r="I1001" s="743">
        <f t="shared" si="61"/>
        <v>0</v>
      </c>
      <c r="J1001" s="743"/>
      <c r="K1001" s="869"/>
      <c r="L1001" s="749"/>
      <c r="M1001" s="869"/>
      <c r="N1001" s="749"/>
      <c r="O1001" s="749"/>
    </row>
    <row r="1002" spans="3:15">
      <c r="C1002" s="739">
        <f>IF(D987="","-",+C1001+1)</f>
        <v>2033</v>
      </c>
      <c r="D1002" s="691">
        <f t="shared" si="60"/>
        <v>147011.96631578944</v>
      </c>
      <c r="E1002" s="746">
        <f t="shared" si="62"/>
        <v>5011.7715789473687</v>
      </c>
      <c r="F1002" s="691">
        <f t="shared" si="63"/>
        <v>142000.19473684207</v>
      </c>
      <c r="G1002" s="1230">
        <f t="shared" si="64"/>
        <v>22076.404583332824</v>
      </c>
      <c r="H1002" s="1233">
        <f t="shared" si="65"/>
        <v>22076.404583332824</v>
      </c>
      <c r="I1002" s="743">
        <f t="shared" si="61"/>
        <v>0</v>
      </c>
      <c r="J1002" s="743"/>
      <c r="K1002" s="869"/>
      <c r="L1002" s="749"/>
      <c r="M1002" s="869"/>
      <c r="N1002" s="749"/>
      <c r="O1002" s="749"/>
    </row>
    <row r="1003" spans="3:15">
      <c r="C1003" s="739">
        <f>IF(D987="","-",+C1002+1)</f>
        <v>2034</v>
      </c>
      <c r="D1003" s="691">
        <f t="shared" si="60"/>
        <v>142000.19473684207</v>
      </c>
      <c r="E1003" s="746">
        <f t="shared" si="62"/>
        <v>5011.7715789473687</v>
      </c>
      <c r="F1003" s="691">
        <f t="shared" si="63"/>
        <v>136988.42315789469</v>
      </c>
      <c r="G1003" s="1230">
        <f t="shared" si="64"/>
        <v>21484.567600521765</v>
      </c>
      <c r="H1003" s="1233">
        <f t="shared" si="65"/>
        <v>21484.567600521765</v>
      </c>
      <c r="I1003" s="743">
        <f t="shared" si="61"/>
        <v>0</v>
      </c>
      <c r="J1003" s="743"/>
      <c r="K1003" s="869"/>
      <c r="L1003" s="749"/>
      <c r="M1003" s="869"/>
      <c r="N1003" s="749"/>
      <c r="O1003" s="749"/>
    </row>
    <row r="1004" spans="3:15">
      <c r="C1004" s="739">
        <f>IF(D987="","-",+C1003+1)</f>
        <v>2035</v>
      </c>
      <c r="D1004" s="691">
        <f t="shared" si="60"/>
        <v>136988.42315789469</v>
      </c>
      <c r="E1004" s="746">
        <f t="shared" si="62"/>
        <v>5011.7715789473687</v>
      </c>
      <c r="F1004" s="691">
        <f t="shared" si="63"/>
        <v>131976.65157894732</v>
      </c>
      <c r="G1004" s="1230">
        <f t="shared" si="64"/>
        <v>20892.730617710706</v>
      </c>
      <c r="H1004" s="1233">
        <f t="shared" si="65"/>
        <v>20892.730617710706</v>
      </c>
      <c r="I1004" s="743">
        <f t="shared" si="61"/>
        <v>0</v>
      </c>
      <c r="J1004" s="743"/>
      <c r="K1004" s="869"/>
      <c r="L1004" s="749"/>
      <c r="M1004" s="869"/>
      <c r="N1004" s="749"/>
      <c r="O1004" s="749"/>
    </row>
    <row r="1005" spans="3:15">
      <c r="C1005" s="739">
        <f>IF(D987="","-",+C1004+1)</f>
        <v>2036</v>
      </c>
      <c r="D1005" s="691">
        <f t="shared" si="60"/>
        <v>131976.65157894732</v>
      </c>
      <c r="E1005" s="746">
        <f t="shared" si="62"/>
        <v>5011.7715789473687</v>
      </c>
      <c r="F1005" s="691">
        <f t="shared" si="63"/>
        <v>126964.87999999995</v>
      </c>
      <c r="G1005" s="1230">
        <f t="shared" si="64"/>
        <v>20300.89363489965</v>
      </c>
      <c r="H1005" s="1233">
        <f t="shared" si="65"/>
        <v>20300.89363489965</v>
      </c>
      <c r="I1005" s="743">
        <f t="shared" si="61"/>
        <v>0</v>
      </c>
      <c r="J1005" s="743"/>
      <c r="K1005" s="869"/>
      <c r="L1005" s="749"/>
      <c r="M1005" s="869"/>
      <c r="N1005" s="749"/>
      <c r="O1005" s="749"/>
    </row>
    <row r="1006" spans="3:15">
      <c r="C1006" s="739">
        <f>IF(D987="","-",+C1005+1)</f>
        <v>2037</v>
      </c>
      <c r="D1006" s="691">
        <f t="shared" si="60"/>
        <v>126964.87999999995</v>
      </c>
      <c r="E1006" s="746">
        <f t="shared" si="62"/>
        <v>5011.7715789473687</v>
      </c>
      <c r="F1006" s="691">
        <f t="shared" si="63"/>
        <v>121953.10842105257</v>
      </c>
      <c r="G1006" s="1230">
        <f t="shared" si="64"/>
        <v>19709.056652088595</v>
      </c>
      <c r="H1006" s="1233">
        <f t="shared" si="65"/>
        <v>19709.056652088595</v>
      </c>
      <c r="I1006" s="743">
        <f t="shared" si="61"/>
        <v>0</v>
      </c>
      <c r="J1006" s="743"/>
      <c r="K1006" s="869"/>
      <c r="L1006" s="749"/>
      <c r="M1006" s="869"/>
      <c r="N1006" s="749"/>
      <c r="O1006" s="749"/>
    </row>
    <row r="1007" spans="3:15">
      <c r="C1007" s="739">
        <f>IF(D987="","-",+C1006+1)</f>
        <v>2038</v>
      </c>
      <c r="D1007" s="691">
        <f t="shared" si="60"/>
        <v>121953.10842105257</v>
      </c>
      <c r="E1007" s="746">
        <f t="shared" si="62"/>
        <v>5011.7715789473687</v>
      </c>
      <c r="F1007" s="691">
        <f t="shared" si="63"/>
        <v>116941.3368421052</v>
      </c>
      <c r="G1007" s="1230">
        <f t="shared" si="64"/>
        <v>19117.219669277536</v>
      </c>
      <c r="H1007" s="1233">
        <f t="shared" si="65"/>
        <v>19117.219669277536</v>
      </c>
      <c r="I1007" s="743">
        <f t="shared" si="61"/>
        <v>0</v>
      </c>
      <c r="J1007" s="743"/>
      <c r="K1007" s="869"/>
      <c r="L1007" s="749"/>
      <c r="M1007" s="869"/>
      <c r="N1007" s="749"/>
      <c r="O1007" s="749"/>
    </row>
    <row r="1008" spans="3:15">
      <c r="C1008" s="739">
        <f>IF(D987="","-",+C1007+1)</f>
        <v>2039</v>
      </c>
      <c r="D1008" s="691">
        <f t="shared" si="60"/>
        <v>116941.3368421052</v>
      </c>
      <c r="E1008" s="746">
        <f t="shared" si="62"/>
        <v>5011.7715789473687</v>
      </c>
      <c r="F1008" s="691">
        <f t="shared" si="63"/>
        <v>111929.56526315783</v>
      </c>
      <c r="G1008" s="1230">
        <f t="shared" si="64"/>
        <v>18525.382686466481</v>
      </c>
      <c r="H1008" s="1233">
        <f t="shared" si="65"/>
        <v>18525.382686466481</v>
      </c>
      <c r="I1008" s="743">
        <f t="shared" si="61"/>
        <v>0</v>
      </c>
      <c r="J1008" s="743"/>
      <c r="K1008" s="869"/>
      <c r="L1008" s="749"/>
      <c r="M1008" s="869"/>
      <c r="N1008" s="749"/>
      <c r="O1008" s="749"/>
    </row>
    <row r="1009" spans="3:15">
      <c r="C1009" s="739">
        <f>IF(D987="","-",+C1008+1)</f>
        <v>2040</v>
      </c>
      <c r="D1009" s="691">
        <f t="shared" si="60"/>
        <v>111929.56526315783</v>
      </c>
      <c r="E1009" s="746">
        <f t="shared" si="62"/>
        <v>5011.7715789473687</v>
      </c>
      <c r="F1009" s="691">
        <f t="shared" si="63"/>
        <v>106917.79368421045</v>
      </c>
      <c r="G1009" s="1230">
        <f t="shared" si="64"/>
        <v>17933.545703655422</v>
      </c>
      <c r="H1009" s="1233">
        <f t="shared" si="65"/>
        <v>17933.545703655422</v>
      </c>
      <c r="I1009" s="743">
        <f t="shared" si="61"/>
        <v>0</v>
      </c>
      <c r="J1009" s="743"/>
      <c r="K1009" s="869"/>
      <c r="L1009" s="749"/>
      <c r="M1009" s="869"/>
      <c r="N1009" s="749"/>
      <c r="O1009" s="749"/>
    </row>
    <row r="1010" spans="3:15">
      <c r="C1010" s="739">
        <f>IF(D987="","-",+C1009+1)</f>
        <v>2041</v>
      </c>
      <c r="D1010" s="691">
        <f t="shared" si="60"/>
        <v>106917.79368421045</v>
      </c>
      <c r="E1010" s="746">
        <f t="shared" si="62"/>
        <v>5011.7715789473687</v>
      </c>
      <c r="F1010" s="691">
        <f t="shared" si="63"/>
        <v>101906.02210526308</v>
      </c>
      <c r="G1010" s="1230">
        <f t="shared" si="64"/>
        <v>17341.708720844366</v>
      </c>
      <c r="H1010" s="1233">
        <f t="shared" si="65"/>
        <v>17341.708720844366</v>
      </c>
      <c r="I1010" s="743">
        <f t="shared" si="61"/>
        <v>0</v>
      </c>
      <c r="J1010" s="743"/>
      <c r="K1010" s="869"/>
      <c r="L1010" s="749"/>
      <c r="M1010" s="869"/>
      <c r="N1010" s="749"/>
      <c r="O1010" s="749"/>
    </row>
    <row r="1011" spans="3:15">
      <c r="C1011" s="739">
        <f>IF(D987="","-",+C1010+1)</f>
        <v>2042</v>
      </c>
      <c r="D1011" s="691">
        <f t="shared" si="60"/>
        <v>101906.02210526308</v>
      </c>
      <c r="E1011" s="746">
        <f t="shared" si="62"/>
        <v>5011.7715789473687</v>
      </c>
      <c r="F1011" s="691">
        <f t="shared" si="63"/>
        <v>96894.250526315707</v>
      </c>
      <c r="G1011" s="1230">
        <f t="shared" si="64"/>
        <v>16749.871738033311</v>
      </c>
      <c r="H1011" s="1233">
        <f t="shared" si="65"/>
        <v>16749.871738033311</v>
      </c>
      <c r="I1011" s="743">
        <f t="shared" si="61"/>
        <v>0</v>
      </c>
      <c r="J1011" s="743"/>
      <c r="K1011" s="869"/>
      <c r="L1011" s="749"/>
      <c r="M1011" s="869"/>
      <c r="N1011" s="749"/>
      <c r="O1011" s="749"/>
    </row>
    <row r="1012" spans="3:15">
      <c r="C1012" s="739">
        <f>IF(D987="","-",+C1011+1)</f>
        <v>2043</v>
      </c>
      <c r="D1012" s="691">
        <f t="shared" si="60"/>
        <v>96894.250526315707</v>
      </c>
      <c r="E1012" s="746">
        <f t="shared" si="62"/>
        <v>5011.7715789473687</v>
      </c>
      <c r="F1012" s="691">
        <f t="shared" si="63"/>
        <v>91882.478947368334</v>
      </c>
      <c r="G1012" s="1230">
        <f t="shared" si="64"/>
        <v>16158.034755222252</v>
      </c>
      <c r="H1012" s="1233">
        <f t="shared" si="65"/>
        <v>16158.034755222252</v>
      </c>
      <c r="I1012" s="743">
        <f t="shared" si="61"/>
        <v>0</v>
      </c>
      <c r="J1012" s="743"/>
      <c r="K1012" s="869"/>
      <c r="L1012" s="749"/>
      <c r="M1012" s="869"/>
      <c r="N1012" s="749"/>
      <c r="O1012" s="749"/>
    </row>
    <row r="1013" spans="3:15">
      <c r="C1013" s="739">
        <f>IF(D987="","-",+C1012+1)</f>
        <v>2044</v>
      </c>
      <c r="D1013" s="691">
        <f t="shared" si="60"/>
        <v>91882.478947368334</v>
      </c>
      <c r="E1013" s="746">
        <f t="shared" si="62"/>
        <v>5011.7715789473687</v>
      </c>
      <c r="F1013" s="691">
        <f t="shared" si="63"/>
        <v>86870.707368420961</v>
      </c>
      <c r="G1013" s="1230">
        <f t="shared" si="64"/>
        <v>15566.197772411197</v>
      </c>
      <c r="H1013" s="1233">
        <f t="shared" si="65"/>
        <v>15566.197772411197</v>
      </c>
      <c r="I1013" s="743">
        <f t="shared" si="61"/>
        <v>0</v>
      </c>
      <c r="J1013" s="743"/>
      <c r="K1013" s="869"/>
      <c r="L1013" s="749"/>
      <c r="M1013" s="869"/>
      <c r="N1013" s="749"/>
      <c r="O1013" s="749"/>
    </row>
    <row r="1014" spans="3:15">
      <c r="C1014" s="739">
        <f>IF(D987="","-",+C1013+1)</f>
        <v>2045</v>
      </c>
      <c r="D1014" s="691">
        <f t="shared" si="60"/>
        <v>86870.707368420961</v>
      </c>
      <c r="E1014" s="746">
        <f t="shared" si="62"/>
        <v>5011.7715789473687</v>
      </c>
      <c r="F1014" s="691">
        <f t="shared" si="63"/>
        <v>81858.935789473588</v>
      </c>
      <c r="G1014" s="1230">
        <f t="shared" si="64"/>
        <v>14974.360789600138</v>
      </c>
      <c r="H1014" s="1233">
        <f t="shared" si="65"/>
        <v>14974.360789600138</v>
      </c>
      <c r="I1014" s="743">
        <f t="shared" si="61"/>
        <v>0</v>
      </c>
      <c r="J1014" s="743"/>
      <c r="K1014" s="869"/>
      <c r="L1014" s="749"/>
      <c r="M1014" s="869"/>
      <c r="N1014" s="749"/>
      <c r="O1014" s="749"/>
    </row>
    <row r="1015" spans="3:15">
      <c r="C1015" s="739">
        <f>IF(D987="","-",+C1014+1)</f>
        <v>2046</v>
      </c>
      <c r="D1015" s="691">
        <f t="shared" si="60"/>
        <v>81858.935789473588</v>
      </c>
      <c r="E1015" s="746">
        <f t="shared" si="62"/>
        <v>5011.7715789473687</v>
      </c>
      <c r="F1015" s="691">
        <f t="shared" si="63"/>
        <v>76847.164210526214</v>
      </c>
      <c r="G1015" s="1230">
        <f t="shared" si="64"/>
        <v>14382.523806789082</v>
      </c>
      <c r="H1015" s="1233">
        <f t="shared" si="65"/>
        <v>14382.523806789082</v>
      </c>
      <c r="I1015" s="743">
        <f t="shared" si="61"/>
        <v>0</v>
      </c>
      <c r="J1015" s="743"/>
      <c r="K1015" s="869"/>
      <c r="L1015" s="749"/>
      <c r="M1015" s="869"/>
      <c r="N1015" s="749"/>
      <c r="O1015" s="749"/>
    </row>
    <row r="1016" spans="3:15">
      <c r="C1016" s="739">
        <f>IF(D987="","-",+C1015+1)</f>
        <v>2047</v>
      </c>
      <c r="D1016" s="691">
        <f t="shared" si="60"/>
        <v>76847.164210526214</v>
      </c>
      <c r="E1016" s="746">
        <f t="shared" si="62"/>
        <v>5011.7715789473687</v>
      </c>
      <c r="F1016" s="691">
        <f t="shared" si="63"/>
        <v>71835.392631578841</v>
      </c>
      <c r="G1016" s="1230">
        <f t="shared" si="64"/>
        <v>13790.686823978023</v>
      </c>
      <c r="H1016" s="1233">
        <f t="shared" si="65"/>
        <v>13790.686823978023</v>
      </c>
      <c r="I1016" s="743">
        <f t="shared" si="61"/>
        <v>0</v>
      </c>
      <c r="J1016" s="743"/>
      <c r="K1016" s="869"/>
      <c r="L1016" s="749"/>
      <c r="M1016" s="869"/>
      <c r="N1016" s="749"/>
      <c r="O1016" s="749"/>
    </row>
    <row r="1017" spans="3:15">
      <c r="C1017" s="739">
        <f>IF(D987="","-",+C1016+1)</f>
        <v>2048</v>
      </c>
      <c r="D1017" s="691">
        <f t="shared" si="60"/>
        <v>71835.392631578841</v>
      </c>
      <c r="E1017" s="746">
        <f t="shared" si="62"/>
        <v>5011.7715789473687</v>
      </c>
      <c r="F1017" s="691">
        <f t="shared" si="63"/>
        <v>66823.621052631468</v>
      </c>
      <c r="G1017" s="1230">
        <f t="shared" si="64"/>
        <v>13198.849841166968</v>
      </c>
      <c r="H1017" s="1233">
        <f t="shared" si="65"/>
        <v>13198.849841166968</v>
      </c>
      <c r="I1017" s="743">
        <f t="shared" si="61"/>
        <v>0</v>
      </c>
      <c r="J1017" s="743"/>
      <c r="K1017" s="869"/>
      <c r="L1017" s="749"/>
      <c r="M1017" s="869"/>
      <c r="N1017" s="749"/>
      <c r="O1017" s="749"/>
    </row>
    <row r="1018" spans="3:15">
      <c r="C1018" s="739">
        <f>IF(D987="","-",+C1017+1)</f>
        <v>2049</v>
      </c>
      <c r="D1018" s="691">
        <f t="shared" si="60"/>
        <v>66823.621052631468</v>
      </c>
      <c r="E1018" s="746">
        <f t="shared" si="62"/>
        <v>5011.7715789473687</v>
      </c>
      <c r="F1018" s="691">
        <f t="shared" si="63"/>
        <v>61811.849473684102</v>
      </c>
      <c r="G1018" s="1230">
        <f t="shared" si="64"/>
        <v>12607.012858355911</v>
      </c>
      <c r="H1018" s="1233">
        <f t="shared" si="65"/>
        <v>12607.012858355911</v>
      </c>
      <c r="I1018" s="743">
        <f t="shared" si="61"/>
        <v>0</v>
      </c>
      <c r="J1018" s="743"/>
      <c r="K1018" s="869"/>
      <c r="L1018" s="749"/>
      <c r="M1018" s="869"/>
      <c r="N1018" s="749"/>
      <c r="O1018" s="749"/>
    </row>
    <row r="1019" spans="3:15">
      <c r="C1019" s="739">
        <f>IF(D987="","-",+C1018+1)</f>
        <v>2050</v>
      </c>
      <c r="D1019" s="691">
        <f t="shared" si="60"/>
        <v>61811.849473684102</v>
      </c>
      <c r="E1019" s="746">
        <f t="shared" si="62"/>
        <v>5011.7715789473687</v>
      </c>
      <c r="F1019" s="691">
        <f t="shared" si="63"/>
        <v>56800.077894736736</v>
      </c>
      <c r="G1019" s="1230">
        <f t="shared" si="64"/>
        <v>12015.175875544857</v>
      </c>
      <c r="H1019" s="1233">
        <f t="shared" si="65"/>
        <v>12015.175875544857</v>
      </c>
      <c r="I1019" s="743">
        <f t="shared" si="61"/>
        <v>0</v>
      </c>
      <c r="J1019" s="743"/>
      <c r="K1019" s="869"/>
      <c r="L1019" s="749"/>
      <c r="M1019" s="869"/>
      <c r="N1019" s="749"/>
      <c r="O1019" s="749"/>
    </row>
    <row r="1020" spans="3:15">
      <c r="C1020" s="739">
        <f>IF(D987="","-",+C1019+1)</f>
        <v>2051</v>
      </c>
      <c r="D1020" s="691">
        <f t="shared" si="60"/>
        <v>56800.077894736736</v>
      </c>
      <c r="E1020" s="746">
        <f t="shared" si="62"/>
        <v>5011.7715789473687</v>
      </c>
      <c r="F1020" s="691">
        <f t="shared" si="63"/>
        <v>51788.30631578937</v>
      </c>
      <c r="G1020" s="1230">
        <f t="shared" si="64"/>
        <v>11423.338892733798</v>
      </c>
      <c r="H1020" s="1233">
        <f t="shared" si="65"/>
        <v>11423.338892733798</v>
      </c>
      <c r="I1020" s="743">
        <f t="shared" si="61"/>
        <v>0</v>
      </c>
      <c r="J1020" s="743"/>
      <c r="K1020" s="869"/>
      <c r="L1020" s="749"/>
      <c r="M1020" s="869"/>
      <c r="N1020" s="749"/>
      <c r="O1020" s="749"/>
    </row>
    <row r="1021" spans="3:15">
      <c r="C1021" s="739">
        <f>IF(D987="","-",+C1020+1)</f>
        <v>2052</v>
      </c>
      <c r="D1021" s="691">
        <f t="shared" si="60"/>
        <v>51788.30631578937</v>
      </c>
      <c r="E1021" s="746">
        <f t="shared" si="62"/>
        <v>5011.7715789473687</v>
      </c>
      <c r="F1021" s="691">
        <f t="shared" si="63"/>
        <v>46776.534736842004</v>
      </c>
      <c r="G1021" s="1230">
        <f t="shared" si="64"/>
        <v>10831.501909922743</v>
      </c>
      <c r="H1021" s="1233">
        <f t="shared" si="65"/>
        <v>10831.501909922743</v>
      </c>
      <c r="I1021" s="743">
        <f t="shared" si="61"/>
        <v>0</v>
      </c>
      <c r="J1021" s="743"/>
      <c r="K1021" s="869"/>
      <c r="L1021" s="749"/>
      <c r="M1021" s="869"/>
      <c r="N1021" s="749"/>
      <c r="O1021" s="749"/>
    </row>
    <row r="1022" spans="3:15">
      <c r="C1022" s="739">
        <f>IF(D987="","-",+C1021+1)</f>
        <v>2053</v>
      </c>
      <c r="D1022" s="691">
        <f t="shared" si="60"/>
        <v>46776.534736842004</v>
      </c>
      <c r="E1022" s="746">
        <f t="shared" si="62"/>
        <v>5011.7715789473687</v>
      </c>
      <c r="F1022" s="691">
        <f t="shared" si="63"/>
        <v>41764.763157894638</v>
      </c>
      <c r="G1022" s="1230">
        <f t="shared" si="64"/>
        <v>10239.664927111688</v>
      </c>
      <c r="H1022" s="1233">
        <f t="shared" si="65"/>
        <v>10239.664927111688</v>
      </c>
      <c r="I1022" s="743">
        <f t="shared" si="61"/>
        <v>0</v>
      </c>
      <c r="J1022" s="743"/>
      <c r="K1022" s="869"/>
      <c r="L1022" s="749"/>
      <c r="M1022" s="869"/>
      <c r="N1022" s="749"/>
      <c r="O1022" s="749"/>
    </row>
    <row r="1023" spans="3:15">
      <c r="C1023" s="739">
        <f>IF(D987="","-",+C1022+1)</f>
        <v>2054</v>
      </c>
      <c r="D1023" s="691">
        <f t="shared" si="60"/>
        <v>41764.763157894638</v>
      </c>
      <c r="E1023" s="746">
        <f t="shared" si="62"/>
        <v>5011.7715789473687</v>
      </c>
      <c r="F1023" s="691">
        <f t="shared" si="63"/>
        <v>36752.991578947273</v>
      </c>
      <c r="G1023" s="1230">
        <f t="shared" si="64"/>
        <v>9647.8279443006322</v>
      </c>
      <c r="H1023" s="1233">
        <f t="shared" si="65"/>
        <v>9647.8279443006322</v>
      </c>
      <c r="I1023" s="743">
        <f t="shared" si="61"/>
        <v>0</v>
      </c>
      <c r="J1023" s="743"/>
      <c r="K1023" s="869"/>
      <c r="L1023" s="749"/>
      <c r="M1023" s="869"/>
      <c r="N1023" s="749"/>
      <c r="O1023" s="749"/>
    </row>
    <row r="1024" spans="3:15">
      <c r="C1024" s="739">
        <f>IF(D987="","-",+C1023+1)</f>
        <v>2055</v>
      </c>
      <c r="D1024" s="691">
        <f t="shared" si="60"/>
        <v>36752.991578947273</v>
      </c>
      <c r="E1024" s="746">
        <f t="shared" si="62"/>
        <v>5011.7715789473687</v>
      </c>
      <c r="F1024" s="691">
        <f t="shared" si="63"/>
        <v>31741.219999999903</v>
      </c>
      <c r="G1024" s="1230">
        <f t="shared" si="64"/>
        <v>9055.9909614895751</v>
      </c>
      <c r="H1024" s="1233">
        <f t="shared" si="65"/>
        <v>9055.9909614895751</v>
      </c>
      <c r="I1024" s="743">
        <f t="shared" si="61"/>
        <v>0</v>
      </c>
      <c r="J1024" s="743"/>
      <c r="K1024" s="869"/>
      <c r="L1024" s="749"/>
      <c r="M1024" s="869"/>
      <c r="N1024" s="749"/>
      <c r="O1024" s="749"/>
    </row>
    <row r="1025" spans="3:15">
      <c r="C1025" s="739">
        <f>IF(D987="","-",+C1024+1)</f>
        <v>2056</v>
      </c>
      <c r="D1025" s="691">
        <f t="shared" si="60"/>
        <v>31741.219999999903</v>
      </c>
      <c r="E1025" s="746">
        <f t="shared" si="62"/>
        <v>5011.7715789473687</v>
      </c>
      <c r="F1025" s="691">
        <f t="shared" si="63"/>
        <v>26729.448421052533</v>
      </c>
      <c r="G1025" s="1230">
        <f t="shared" si="64"/>
        <v>8464.1539786785197</v>
      </c>
      <c r="H1025" s="1233">
        <f t="shared" si="65"/>
        <v>8464.1539786785197</v>
      </c>
      <c r="I1025" s="743">
        <f t="shared" si="61"/>
        <v>0</v>
      </c>
      <c r="J1025" s="743"/>
      <c r="K1025" s="869"/>
      <c r="L1025" s="749"/>
      <c r="M1025" s="869"/>
      <c r="N1025" s="749"/>
      <c r="O1025" s="749"/>
    </row>
    <row r="1026" spans="3:15">
      <c r="C1026" s="739">
        <f>IF(D987="","-",+C1025+1)</f>
        <v>2057</v>
      </c>
      <c r="D1026" s="691">
        <f t="shared" si="60"/>
        <v>26729.448421052533</v>
      </c>
      <c r="E1026" s="746">
        <f t="shared" si="62"/>
        <v>5011.7715789473687</v>
      </c>
      <c r="F1026" s="691">
        <f t="shared" si="63"/>
        <v>21717.676842105164</v>
      </c>
      <c r="G1026" s="1230">
        <f t="shared" si="64"/>
        <v>7872.3169958674625</v>
      </c>
      <c r="H1026" s="1233">
        <f t="shared" si="65"/>
        <v>7872.3169958674625</v>
      </c>
      <c r="I1026" s="743">
        <f t="shared" si="61"/>
        <v>0</v>
      </c>
      <c r="J1026" s="743"/>
      <c r="K1026" s="869"/>
      <c r="L1026" s="749"/>
      <c r="M1026" s="869"/>
      <c r="N1026" s="749"/>
      <c r="O1026" s="749"/>
    </row>
    <row r="1027" spans="3:15">
      <c r="C1027" s="739">
        <f>IF(D987="","-",+C1026+1)</f>
        <v>2058</v>
      </c>
      <c r="D1027" s="691">
        <f t="shared" si="60"/>
        <v>21717.676842105164</v>
      </c>
      <c r="E1027" s="746">
        <f t="shared" si="62"/>
        <v>5011.7715789473687</v>
      </c>
      <c r="F1027" s="691">
        <f t="shared" si="63"/>
        <v>16705.905263157794</v>
      </c>
      <c r="G1027" s="1230">
        <f t="shared" si="64"/>
        <v>7280.4800130564063</v>
      </c>
      <c r="H1027" s="1233">
        <f t="shared" si="65"/>
        <v>7280.4800130564063</v>
      </c>
      <c r="I1027" s="743">
        <f t="shared" si="61"/>
        <v>0</v>
      </c>
      <c r="J1027" s="743"/>
      <c r="K1027" s="869"/>
      <c r="L1027" s="749"/>
      <c r="M1027" s="869"/>
      <c r="N1027" s="749"/>
      <c r="O1027" s="749"/>
    </row>
    <row r="1028" spans="3:15">
      <c r="C1028" s="739">
        <f>IF(D987="","-",+C1027+1)</f>
        <v>2059</v>
      </c>
      <c r="D1028" s="691">
        <f t="shared" si="60"/>
        <v>16705.905263157794</v>
      </c>
      <c r="E1028" s="746">
        <f t="shared" si="62"/>
        <v>5011.7715789473687</v>
      </c>
      <c r="F1028" s="691">
        <f t="shared" si="63"/>
        <v>11694.133684210425</v>
      </c>
      <c r="G1028" s="1230">
        <f t="shared" si="64"/>
        <v>6688.64303024535</v>
      </c>
      <c r="H1028" s="1233">
        <f t="shared" si="65"/>
        <v>6688.64303024535</v>
      </c>
      <c r="I1028" s="743">
        <f t="shared" si="61"/>
        <v>0</v>
      </c>
      <c r="J1028" s="743"/>
      <c r="K1028" s="869"/>
      <c r="L1028" s="749"/>
      <c r="M1028" s="869"/>
      <c r="N1028" s="749"/>
      <c r="O1028" s="749"/>
    </row>
    <row r="1029" spans="3:15">
      <c r="C1029" s="739">
        <f>IF(D987="","-",+C1028+1)</f>
        <v>2060</v>
      </c>
      <c r="D1029" s="691">
        <f t="shared" si="60"/>
        <v>11694.133684210425</v>
      </c>
      <c r="E1029" s="746">
        <f t="shared" si="62"/>
        <v>5011.7715789473687</v>
      </c>
      <c r="F1029" s="691">
        <f t="shared" si="63"/>
        <v>6682.362105263056</v>
      </c>
      <c r="G1029" s="1230">
        <f t="shared" si="64"/>
        <v>6096.8060474342929</v>
      </c>
      <c r="H1029" s="1233">
        <f t="shared" si="65"/>
        <v>6096.8060474342929</v>
      </c>
      <c r="I1029" s="743">
        <f t="shared" si="61"/>
        <v>0</v>
      </c>
      <c r="J1029" s="743"/>
      <c r="K1029" s="869"/>
      <c r="L1029" s="749"/>
      <c r="M1029" s="869"/>
      <c r="N1029" s="749"/>
      <c r="O1029" s="749"/>
    </row>
    <row r="1030" spans="3:15">
      <c r="C1030" s="739">
        <f>IF(D987="","-",+C1029+1)</f>
        <v>2061</v>
      </c>
      <c r="D1030" s="691">
        <f t="shared" si="60"/>
        <v>6682.362105263056</v>
      </c>
      <c r="E1030" s="746">
        <f t="shared" si="62"/>
        <v>5011.7715789473687</v>
      </c>
      <c r="F1030" s="691">
        <f t="shared" si="63"/>
        <v>1670.5905263156874</v>
      </c>
      <c r="G1030" s="1230">
        <f t="shared" si="64"/>
        <v>5504.9690646232366</v>
      </c>
      <c r="H1030" s="1233">
        <f t="shared" si="65"/>
        <v>5504.9690646232366</v>
      </c>
      <c r="I1030" s="743">
        <f t="shared" si="61"/>
        <v>0</v>
      </c>
      <c r="J1030" s="743"/>
      <c r="K1030" s="869"/>
      <c r="L1030" s="749"/>
      <c r="M1030" s="869"/>
      <c r="N1030" s="749"/>
      <c r="O1030" s="749"/>
    </row>
    <row r="1031" spans="3:15">
      <c r="C1031" s="739">
        <f>IF(D987="","-",+C1030+1)</f>
        <v>2062</v>
      </c>
      <c r="D1031" s="691">
        <f t="shared" si="60"/>
        <v>1670.5905263156874</v>
      </c>
      <c r="E1031" s="746">
        <f t="shared" si="62"/>
        <v>1670.5905263156874</v>
      </c>
      <c r="F1031" s="691">
        <f t="shared" si="63"/>
        <v>0</v>
      </c>
      <c r="G1031" s="1230">
        <f t="shared" si="64"/>
        <v>1769.2300234508575</v>
      </c>
      <c r="H1031" s="1233">
        <f t="shared" si="65"/>
        <v>1769.2300234508575</v>
      </c>
      <c r="I1031" s="743">
        <f t="shared" si="61"/>
        <v>0</v>
      </c>
      <c r="J1031" s="743"/>
      <c r="K1031" s="869"/>
      <c r="L1031" s="749"/>
      <c r="M1031" s="869"/>
      <c r="N1031" s="749"/>
      <c r="O1031" s="749"/>
    </row>
    <row r="1032" spans="3:15">
      <c r="C1032" s="739">
        <f>IF(D987="","-",+C1031+1)</f>
        <v>2063</v>
      </c>
      <c r="D1032" s="691">
        <f t="shared" si="60"/>
        <v>0</v>
      </c>
      <c r="E1032" s="746">
        <f t="shared" si="62"/>
        <v>0</v>
      </c>
      <c r="F1032" s="691">
        <f t="shared" si="63"/>
        <v>0</v>
      </c>
      <c r="G1032" s="1230">
        <f t="shared" si="64"/>
        <v>0</v>
      </c>
      <c r="H1032" s="1233">
        <f t="shared" si="65"/>
        <v>0</v>
      </c>
      <c r="I1032" s="743">
        <f t="shared" si="61"/>
        <v>0</v>
      </c>
      <c r="J1032" s="743"/>
      <c r="K1032" s="869"/>
      <c r="L1032" s="749"/>
      <c r="M1032" s="869"/>
      <c r="N1032" s="749"/>
      <c r="O1032" s="749"/>
    </row>
    <row r="1033" spans="3:15">
      <c r="C1033" s="739">
        <f>IF(D987="","-",+C1032+1)</f>
        <v>2064</v>
      </c>
      <c r="D1033" s="691">
        <f t="shared" si="60"/>
        <v>0</v>
      </c>
      <c r="E1033" s="746">
        <f t="shared" si="62"/>
        <v>0</v>
      </c>
      <c r="F1033" s="691">
        <f t="shared" si="63"/>
        <v>0</v>
      </c>
      <c r="G1033" s="1230">
        <f t="shared" si="64"/>
        <v>0</v>
      </c>
      <c r="H1033" s="1233">
        <f t="shared" si="65"/>
        <v>0</v>
      </c>
      <c r="I1033" s="743">
        <f t="shared" si="61"/>
        <v>0</v>
      </c>
      <c r="J1033" s="743"/>
      <c r="K1033" s="869"/>
      <c r="L1033" s="749"/>
      <c r="M1033" s="869"/>
      <c r="N1033" s="749"/>
      <c r="O1033" s="749"/>
    </row>
    <row r="1034" spans="3:15">
      <c r="C1034" s="739">
        <f>IF(D987="","-",+C1033+1)</f>
        <v>2065</v>
      </c>
      <c r="D1034" s="691">
        <f t="shared" si="60"/>
        <v>0</v>
      </c>
      <c r="E1034" s="746">
        <f t="shared" si="62"/>
        <v>0</v>
      </c>
      <c r="F1034" s="691">
        <f t="shared" si="63"/>
        <v>0</v>
      </c>
      <c r="G1034" s="1230">
        <f t="shared" si="64"/>
        <v>0</v>
      </c>
      <c r="H1034" s="1233">
        <f t="shared" si="65"/>
        <v>0</v>
      </c>
      <c r="I1034" s="743">
        <f t="shared" si="61"/>
        <v>0</v>
      </c>
      <c r="J1034" s="743"/>
      <c r="K1034" s="869"/>
      <c r="L1034" s="749"/>
      <c r="M1034" s="869"/>
      <c r="N1034" s="749"/>
      <c r="O1034" s="749"/>
    </row>
    <row r="1035" spans="3:15">
      <c r="C1035" s="739">
        <f>IF(D987="","-",+C1034+1)</f>
        <v>2066</v>
      </c>
      <c r="D1035" s="691">
        <f t="shared" si="60"/>
        <v>0</v>
      </c>
      <c r="E1035" s="746">
        <f t="shared" si="62"/>
        <v>0</v>
      </c>
      <c r="F1035" s="691">
        <f t="shared" si="63"/>
        <v>0</v>
      </c>
      <c r="G1035" s="1230">
        <f t="shared" si="64"/>
        <v>0</v>
      </c>
      <c r="H1035" s="1233">
        <f t="shared" si="65"/>
        <v>0</v>
      </c>
      <c r="I1035" s="743">
        <f t="shared" si="61"/>
        <v>0</v>
      </c>
      <c r="J1035" s="743"/>
      <c r="K1035" s="869"/>
      <c r="L1035" s="749"/>
      <c r="M1035" s="869"/>
      <c r="N1035" s="749"/>
      <c r="O1035" s="749"/>
    </row>
    <row r="1036" spans="3:15">
      <c r="C1036" s="739">
        <f>IF(D987="","-",+C1035+1)</f>
        <v>2067</v>
      </c>
      <c r="D1036" s="691">
        <f t="shared" si="60"/>
        <v>0</v>
      </c>
      <c r="E1036" s="746">
        <f t="shared" si="62"/>
        <v>0</v>
      </c>
      <c r="F1036" s="691">
        <f t="shared" si="63"/>
        <v>0</v>
      </c>
      <c r="G1036" s="1230">
        <f t="shared" si="64"/>
        <v>0</v>
      </c>
      <c r="H1036" s="1233">
        <f t="shared" si="65"/>
        <v>0</v>
      </c>
      <c r="I1036" s="743">
        <f t="shared" si="61"/>
        <v>0</v>
      </c>
      <c r="J1036" s="743"/>
      <c r="K1036" s="869"/>
      <c r="L1036" s="749"/>
      <c r="M1036" s="869"/>
      <c r="N1036" s="749"/>
      <c r="O1036" s="749"/>
    </row>
    <row r="1037" spans="3:15">
      <c r="C1037" s="739">
        <f>IF(D987="","-",+C1036+1)</f>
        <v>2068</v>
      </c>
      <c r="D1037" s="691">
        <f t="shared" si="60"/>
        <v>0</v>
      </c>
      <c r="E1037" s="746">
        <f t="shared" si="62"/>
        <v>0</v>
      </c>
      <c r="F1037" s="691">
        <f t="shared" si="63"/>
        <v>0</v>
      </c>
      <c r="G1037" s="1230">
        <f t="shared" si="64"/>
        <v>0</v>
      </c>
      <c r="H1037" s="1233">
        <f t="shared" si="65"/>
        <v>0</v>
      </c>
      <c r="I1037" s="743">
        <f t="shared" si="61"/>
        <v>0</v>
      </c>
      <c r="J1037" s="743"/>
      <c r="K1037" s="869"/>
      <c r="L1037" s="749"/>
      <c r="M1037" s="869"/>
      <c r="N1037" s="749"/>
      <c r="O1037" s="749"/>
    </row>
    <row r="1038" spans="3:15">
      <c r="C1038" s="739">
        <f>IF(D987="","-",+C1037+1)</f>
        <v>2069</v>
      </c>
      <c r="D1038" s="691">
        <f t="shared" si="60"/>
        <v>0</v>
      </c>
      <c r="E1038" s="746">
        <f t="shared" si="62"/>
        <v>0</v>
      </c>
      <c r="F1038" s="691">
        <f t="shared" si="63"/>
        <v>0</v>
      </c>
      <c r="G1038" s="1230">
        <f t="shared" si="64"/>
        <v>0</v>
      </c>
      <c r="H1038" s="1233">
        <f t="shared" si="65"/>
        <v>0</v>
      </c>
      <c r="I1038" s="743">
        <f t="shared" si="61"/>
        <v>0</v>
      </c>
      <c r="J1038" s="743"/>
      <c r="K1038" s="869"/>
      <c r="L1038" s="749"/>
      <c r="M1038" s="869"/>
      <c r="N1038" s="749"/>
      <c r="O1038" s="749"/>
    </row>
    <row r="1039" spans="3:15">
      <c r="C1039" s="739">
        <f>IF(D987="","-",+C1038+1)</f>
        <v>2070</v>
      </c>
      <c r="D1039" s="691">
        <f t="shared" si="60"/>
        <v>0</v>
      </c>
      <c r="E1039" s="746">
        <f t="shared" si="62"/>
        <v>0</v>
      </c>
      <c r="F1039" s="691">
        <f t="shared" si="63"/>
        <v>0</v>
      </c>
      <c r="G1039" s="1230">
        <f t="shared" si="64"/>
        <v>0</v>
      </c>
      <c r="H1039" s="1233">
        <f t="shared" si="65"/>
        <v>0</v>
      </c>
      <c r="I1039" s="743">
        <f t="shared" si="61"/>
        <v>0</v>
      </c>
      <c r="J1039" s="743"/>
      <c r="K1039" s="869"/>
      <c r="L1039" s="749"/>
      <c r="M1039" s="869"/>
      <c r="N1039" s="749"/>
      <c r="O1039" s="749"/>
    </row>
    <row r="1040" spans="3:15">
      <c r="C1040" s="739">
        <f>IF(D987="","-",+C1039+1)</f>
        <v>2071</v>
      </c>
      <c r="D1040" s="691">
        <f t="shared" si="60"/>
        <v>0</v>
      </c>
      <c r="E1040" s="746">
        <f t="shared" si="62"/>
        <v>0</v>
      </c>
      <c r="F1040" s="691">
        <f t="shared" si="63"/>
        <v>0</v>
      </c>
      <c r="G1040" s="1230">
        <f t="shared" si="64"/>
        <v>0</v>
      </c>
      <c r="H1040" s="1233">
        <f t="shared" si="65"/>
        <v>0</v>
      </c>
      <c r="I1040" s="743">
        <f t="shared" si="61"/>
        <v>0</v>
      </c>
      <c r="J1040" s="743"/>
      <c r="K1040" s="869"/>
      <c r="L1040" s="749"/>
      <c r="M1040" s="869"/>
      <c r="N1040" s="749"/>
      <c r="O1040" s="749"/>
    </row>
    <row r="1041" spans="3:15">
      <c r="C1041" s="739">
        <f>IF(D987="","-",+C1040+1)</f>
        <v>2072</v>
      </c>
      <c r="D1041" s="691">
        <f t="shared" si="60"/>
        <v>0</v>
      </c>
      <c r="E1041" s="746">
        <f t="shared" si="62"/>
        <v>0</v>
      </c>
      <c r="F1041" s="691">
        <f t="shared" si="63"/>
        <v>0</v>
      </c>
      <c r="G1041" s="1230">
        <f t="shared" si="64"/>
        <v>0</v>
      </c>
      <c r="H1041" s="1233">
        <f t="shared" si="65"/>
        <v>0</v>
      </c>
      <c r="I1041" s="743">
        <f t="shared" si="61"/>
        <v>0</v>
      </c>
      <c r="J1041" s="743"/>
      <c r="K1041" s="869"/>
      <c r="L1041" s="749"/>
      <c r="M1041" s="869"/>
      <c r="N1041" s="749"/>
      <c r="O1041" s="749"/>
    </row>
    <row r="1042" spans="3:15">
      <c r="C1042" s="739">
        <f>IF(D987="","-",+C1041+1)</f>
        <v>2073</v>
      </c>
      <c r="D1042" s="691">
        <f t="shared" si="60"/>
        <v>0</v>
      </c>
      <c r="E1042" s="746">
        <f t="shared" si="62"/>
        <v>0</v>
      </c>
      <c r="F1042" s="691">
        <f t="shared" si="63"/>
        <v>0</v>
      </c>
      <c r="G1042" s="1230">
        <f t="shared" si="64"/>
        <v>0</v>
      </c>
      <c r="H1042" s="1233">
        <f t="shared" si="65"/>
        <v>0</v>
      </c>
      <c r="I1042" s="743">
        <f t="shared" si="61"/>
        <v>0</v>
      </c>
      <c r="J1042" s="743"/>
      <c r="K1042" s="869"/>
      <c r="L1042" s="749"/>
      <c r="M1042" s="869"/>
      <c r="N1042" s="749"/>
      <c r="O1042" s="749"/>
    </row>
    <row r="1043" spans="3:15">
      <c r="C1043" s="739">
        <f>IF(D987="","-",+C1042+1)</f>
        <v>2074</v>
      </c>
      <c r="D1043" s="691">
        <f t="shared" si="60"/>
        <v>0</v>
      </c>
      <c r="E1043" s="746">
        <f t="shared" si="62"/>
        <v>0</v>
      </c>
      <c r="F1043" s="691">
        <f t="shared" si="63"/>
        <v>0</v>
      </c>
      <c r="G1043" s="1230">
        <f t="shared" si="64"/>
        <v>0</v>
      </c>
      <c r="H1043" s="1233">
        <f t="shared" si="65"/>
        <v>0</v>
      </c>
      <c r="I1043" s="743">
        <f t="shared" si="61"/>
        <v>0</v>
      </c>
      <c r="J1043" s="743"/>
      <c r="K1043" s="869"/>
      <c r="L1043" s="749"/>
      <c r="M1043" s="869"/>
      <c r="N1043" s="749"/>
      <c r="O1043" s="749"/>
    </row>
    <row r="1044" spans="3:15">
      <c r="C1044" s="739">
        <f>IF(D987="","-",+C1043+1)</f>
        <v>2075</v>
      </c>
      <c r="D1044" s="691">
        <f t="shared" si="60"/>
        <v>0</v>
      </c>
      <c r="E1044" s="746">
        <f t="shared" si="62"/>
        <v>0</v>
      </c>
      <c r="F1044" s="691">
        <f t="shared" si="63"/>
        <v>0</v>
      </c>
      <c r="G1044" s="1230">
        <f t="shared" si="64"/>
        <v>0</v>
      </c>
      <c r="H1044" s="1233">
        <f t="shared" si="65"/>
        <v>0</v>
      </c>
      <c r="I1044" s="743">
        <f t="shared" si="61"/>
        <v>0</v>
      </c>
      <c r="J1044" s="743"/>
      <c r="K1044" s="869"/>
      <c r="L1044" s="749"/>
      <c r="M1044" s="869"/>
      <c r="N1044" s="749"/>
      <c r="O1044" s="749"/>
    </row>
    <row r="1045" spans="3:15">
      <c r="C1045" s="739">
        <f>IF(D987="","-",+C1044+1)</f>
        <v>2076</v>
      </c>
      <c r="D1045" s="691">
        <f t="shared" si="60"/>
        <v>0</v>
      </c>
      <c r="E1045" s="746">
        <f t="shared" si="62"/>
        <v>0</v>
      </c>
      <c r="F1045" s="691">
        <f t="shared" si="63"/>
        <v>0</v>
      </c>
      <c r="G1045" s="1230">
        <f t="shared" si="64"/>
        <v>0</v>
      </c>
      <c r="H1045" s="1233">
        <f t="shared" si="65"/>
        <v>0</v>
      </c>
      <c r="I1045" s="743">
        <f t="shared" si="61"/>
        <v>0</v>
      </c>
      <c r="J1045" s="743"/>
      <c r="K1045" s="869"/>
      <c r="L1045" s="749"/>
      <c r="M1045" s="869"/>
      <c r="N1045" s="749"/>
      <c r="O1045" s="749"/>
    </row>
    <row r="1046" spans="3:15">
      <c r="C1046" s="739">
        <f>IF(D987="","-",+C1045+1)</f>
        <v>2077</v>
      </c>
      <c r="D1046" s="691">
        <f t="shared" si="60"/>
        <v>0</v>
      </c>
      <c r="E1046" s="746">
        <f t="shared" si="62"/>
        <v>0</v>
      </c>
      <c r="F1046" s="691">
        <f t="shared" si="63"/>
        <v>0</v>
      </c>
      <c r="G1046" s="1230">
        <f t="shared" si="64"/>
        <v>0</v>
      </c>
      <c r="H1046" s="1233">
        <f t="shared" si="65"/>
        <v>0</v>
      </c>
      <c r="I1046" s="743">
        <f t="shared" si="61"/>
        <v>0</v>
      </c>
      <c r="J1046" s="743"/>
      <c r="K1046" s="869"/>
      <c r="L1046" s="749"/>
      <c r="M1046" s="869"/>
      <c r="N1046" s="749"/>
      <c r="O1046" s="749"/>
    </row>
    <row r="1047" spans="3:15">
      <c r="C1047" s="739">
        <f>IF(D987="","-",+C1046+1)</f>
        <v>2078</v>
      </c>
      <c r="D1047" s="691">
        <f t="shared" si="60"/>
        <v>0</v>
      </c>
      <c r="E1047" s="746">
        <f t="shared" si="62"/>
        <v>0</v>
      </c>
      <c r="F1047" s="691">
        <f t="shared" si="63"/>
        <v>0</v>
      </c>
      <c r="G1047" s="1230">
        <f t="shared" si="64"/>
        <v>0</v>
      </c>
      <c r="H1047" s="1233">
        <f t="shared" si="65"/>
        <v>0</v>
      </c>
      <c r="I1047" s="743">
        <f t="shared" si="61"/>
        <v>0</v>
      </c>
      <c r="J1047" s="743"/>
      <c r="K1047" s="869"/>
      <c r="L1047" s="749"/>
      <c r="M1047" s="869"/>
      <c r="N1047" s="749"/>
      <c r="O1047" s="749"/>
    </row>
    <row r="1048" spans="3:15">
      <c r="C1048" s="739">
        <f>IF(D987="","-",+C1047+1)</f>
        <v>2079</v>
      </c>
      <c r="D1048" s="691">
        <f t="shared" si="60"/>
        <v>0</v>
      </c>
      <c r="E1048" s="746">
        <f t="shared" si="62"/>
        <v>0</v>
      </c>
      <c r="F1048" s="691">
        <f t="shared" si="63"/>
        <v>0</v>
      </c>
      <c r="G1048" s="1230">
        <f t="shared" si="64"/>
        <v>0</v>
      </c>
      <c r="H1048" s="1233">
        <f t="shared" si="65"/>
        <v>0</v>
      </c>
      <c r="I1048" s="743">
        <f t="shared" si="61"/>
        <v>0</v>
      </c>
      <c r="J1048" s="743"/>
      <c r="K1048" s="869"/>
      <c r="L1048" s="749"/>
      <c r="M1048" s="869"/>
      <c r="N1048" s="749"/>
      <c r="O1048" s="749"/>
    </row>
    <row r="1049" spans="3:15">
      <c r="C1049" s="739">
        <f>IF(D987="","-",+C1048+1)</f>
        <v>2080</v>
      </c>
      <c r="D1049" s="691">
        <f t="shared" si="60"/>
        <v>0</v>
      </c>
      <c r="E1049" s="746">
        <f t="shared" si="62"/>
        <v>0</v>
      </c>
      <c r="F1049" s="691">
        <f t="shared" si="63"/>
        <v>0</v>
      </c>
      <c r="G1049" s="1230">
        <f t="shared" si="64"/>
        <v>0</v>
      </c>
      <c r="H1049" s="1233">
        <f t="shared" si="65"/>
        <v>0</v>
      </c>
      <c r="I1049" s="743">
        <f t="shared" si="61"/>
        <v>0</v>
      </c>
      <c r="J1049" s="743"/>
      <c r="K1049" s="869"/>
      <c r="L1049" s="749"/>
      <c r="M1049" s="869"/>
      <c r="N1049" s="749"/>
      <c r="O1049" s="749"/>
    </row>
    <row r="1050" spans="3:15">
      <c r="C1050" s="739">
        <f>IF(D987="","-",+C1049+1)</f>
        <v>2081</v>
      </c>
      <c r="D1050" s="691">
        <f t="shared" si="60"/>
        <v>0</v>
      </c>
      <c r="E1050" s="746">
        <f t="shared" si="62"/>
        <v>0</v>
      </c>
      <c r="F1050" s="691">
        <f t="shared" si="63"/>
        <v>0</v>
      </c>
      <c r="G1050" s="1230">
        <f t="shared" si="64"/>
        <v>0</v>
      </c>
      <c r="H1050" s="1233">
        <f t="shared" si="65"/>
        <v>0</v>
      </c>
      <c r="I1050" s="743">
        <f t="shared" si="61"/>
        <v>0</v>
      </c>
      <c r="J1050" s="743"/>
      <c r="K1050" s="869"/>
      <c r="L1050" s="749"/>
      <c r="M1050" s="869"/>
      <c r="N1050" s="749"/>
      <c r="O1050" s="749"/>
    </row>
    <row r="1051" spans="3:15">
      <c r="C1051" s="739">
        <f>IF(D987="","-",+C1050+1)</f>
        <v>2082</v>
      </c>
      <c r="D1051" s="691">
        <f t="shared" si="60"/>
        <v>0</v>
      </c>
      <c r="E1051" s="746">
        <f t="shared" si="62"/>
        <v>0</v>
      </c>
      <c r="F1051" s="691">
        <f t="shared" si="63"/>
        <v>0</v>
      </c>
      <c r="G1051" s="1230">
        <f t="shared" si="64"/>
        <v>0</v>
      </c>
      <c r="H1051" s="1233">
        <f t="shared" si="65"/>
        <v>0</v>
      </c>
      <c r="I1051" s="743">
        <f t="shared" si="61"/>
        <v>0</v>
      </c>
      <c r="J1051" s="743"/>
      <c r="K1051" s="869"/>
      <c r="L1051" s="749"/>
      <c r="M1051" s="869"/>
      <c r="N1051" s="749"/>
      <c r="O1051" s="749"/>
    </row>
    <row r="1052" spans="3:15" ht="13.5" thickBot="1">
      <c r="C1052" s="750">
        <f>IF(D987="","-",+C1051+1)</f>
        <v>2083</v>
      </c>
      <c r="D1052" s="751">
        <f t="shared" si="60"/>
        <v>0</v>
      </c>
      <c r="E1052" s="746">
        <f t="shared" si="62"/>
        <v>0</v>
      </c>
      <c r="F1052" s="1220">
        <f t="shared" si="63"/>
        <v>0</v>
      </c>
      <c r="G1052" s="1241">
        <f t="shared" si="64"/>
        <v>0</v>
      </c>
      <c r="H1052" s="1220">
        <f t="shared" si="65"/>
        <v>0</v>
      </c>
      <c r="I1052" s="754">
        <f t="shared" si="61"/>
        <v>0</v>
      </c>
      <c r="J1052" s="743"/>
      <c r="K1052" s="870"/>
      <c r="L1052" s="756"/>
      <c r="M1052" s="870"/>
      <c r="N1052" s="756"/>
      <c r="O1052" s="756"/>
    </row>
    <row r="1053" spans="3:15">
      <c r="C1053" s="691" t="s">
        <v>289</v>
      </c>
      <c r="D1053" s="1211"/>
      <c r="E1053" s="1211">
        <f>SUM(E993:E1052)</f>
        <v>190447.31999999998</v>
      </c>
      <c r="F1053" s="1211"/>
      <c r="G1053" s="1211">
        <f>SUM(G993:G1052)</f>
        <v>625250.22337185557</v>
      </c>
      <c r="H1053" s="1211">
        <f>SUM(H993:H1052)</f>
        <v>625250.22337185557</v>
      </c>
      <c r="I1053" s="1211">
        <f>SUM(I993:I1052)</f>
        <v>0</v>
      </c>
      <c r="J1053" s="1211"/>
      <c r="K1053" s="1211"/>
      <c r="L1053" s="1211"/>
      <c r="M1053" s="1211"/>
      <c r="N1053" s="1211"/>
      <c r="O1053" s="558"/>
    </row>
    <row r="1054" spans="3:15">
      <c r="D1054" s="581"/>
      <c r="E1054" s="558"/>
      <c r="F1054" s="558"/>
      <c r="G1054" s="558"/>
      <c r="H1054" s="1210"/>
      <c r="I1054" s="1210"/>
      <c r="J1054" s="1211"/>
      <c r="K1054" s="1210"/>
      <c r="L1054" s="1210"/>
      <c r="M1054" s="1210"/>
      <c r="N1054" s="1210"/>
      <c r="O1054" s="558"/>
    </row>
    <row r="1055" spans="3:15">
      <c r="C1055" s="1242" t="s">
        <v>926</v>
      </c>
      <c r="D1055" s="581"/>
      <c r="E1055" s="558"/>
      <c r="F1055" s="558"/>
      <c r="G1055" s="558"/>
      <c r="H1055" s="1210"/>
      <c r="I1055" s="1210"/>
      <c r="J1055" s="1211"/>
      <c r="K1055" s="1210"/>
      <c r="L1055" s="1210"/>
      <c r="M1055" s="1210"/>
      <c r="N1055" s="1210"/>
      <c r="O1055" s="558"/>
    </row>
    <row r="1056" spans="3:15">
      <c r="D1056" s="581"/>
      <c r="E1056" s="558"/>
      <c r="F1056" s="558"/>
      <c r="G1056" s="558"/>
      <c r="H1056" s="1210"/>
      <c r="I1056" s="1210"/>
      <c r="J1056" s="1211"/>
      <c r="K1056" s="1210"/>
      <c r="L1056" s="1210"/>
      <c r="M1056" s="1210"/>
      <c r="N1056" s="1210"/>
      <c r="O1056" s="558"/>
    </row>
    <row r="1057" spans="1:15">
      <c r="C1057" s="704" t="s">
        <v>927</v>
      </c>
      <c r="D1057" s="691"/>
      <c r="E1057" s="691"/>
      <c r="F1057" s="691"/>
      <c r="G1057" s="1211"/>
      <c r="H1057" s="1211"/>
      <c r="I1057" s="692"/>
      <c r="J1057" s="692"/>
      <c r="K1057" s="692"/>
      <c r="L1057" s="692"/>
      <c r="M1057" s="692"/>
      <c r="N1057" s="692"/>
      <c r="O1057" s="558"/>
    </row>
    <row r="1058" spans="1:15">
      <c r="C1058" s="690" t="s">
        <v>477</v>
      </c>
      <c r="D1058" s="691"/>
      <c r="E1058" s="691"/>
      <c r="F1058" s="691"/>
      <c r="G1058" s="1211"/>
      <c r="H1058" s="1211"/>
      <c r="I1058" s="692"/>
      <c r="J1058" s="692"/>
      <c r="K1058" s="692"/>
      <c r="L1058" s="692"/>
      <c r="M1058" s="692"/>
      <c r="N1058" s="692"/>
      <c r="O1058" s="558"/>
    </row>
    <row r="1059" spans="1:15">
      <c r="C1059" s="690" t="s">
        <v>290</v>
      </c>
      <c r="D1059" s="691"/>
      <c r="E1059" s="691"/>
      <c r="F1059" s="691"/>
      <c r="G1059" s="1211"/>
      <c r="H1059" s="1211"/>
      <c r="I1059" s="692"/>
      <c r="J1059" s="692"/>
      <c r="K1059" s="692"/>
      <c r="L1059" s="692"/>
      <c r="M1059" s="692"/>
      <c r="N1059" s="692"/>
      <c r="O1059" s="558"/>
    </row>
    <row r="1060" spans="1:15">
      <c r="C1060" s="690"/>
      <c r="D1060" s="691"/>
      <c r="E1060" s="691"/>
      <c r="F1060" s="691"/>
      <c r="G1060" s="1211"/>
      <c r="H1060" s="1211"/>
      <c r="I1060" s="692"/>
      <c r="J1060" s="692"/>
      <c r="K1060" s="692"/>
      <c r="L1060" s="692"/>
      <c r="M1060" s="692"/>
      <c r="N1060" s="692"/>
      <c r="O1060" s="558"/>
    </row>
    <row r="1061" spans="1:15">
      <c r="C1061" s="1601" t="s">
        <v>461</v>
      </c>
      <c r="D1061" s="1601"/>
      <c r="E1061" s="1601"/>
      <c r="F1061" s="1601"/>
      <c r="G1061" s="1601"/>
      <c r="H1061" s="1601"/>
      <c r="I1061" s="1601"/>
      <c r="J1061" s="1601"/>
      <c r="K1061" s="1601"/>
      <c r="L1061" s="1601"/>
      <c r="M1061" s="1601"/>
      <c r="N1061" s="1601"/>
      <c r="O1061" s="1601"/>
    </row>
    <row r="1062" spans="1:15">
      <c r="C1062" s="1601"/>
      <c r="D1062" s="1601"/>
      <c r="E1062" s="1601"/>
      <c r="F1062" s="1601"/>
      <c r="G1062" s="1601"/>
      <c r="H1062" s="1601"/>
      <c r="I1062" s="1601"/>
      <c r="J1062" s="1601"/>
      <c r="K1062" s="1601"/>
      <c r="L1062" s="1601"/>
      <c r="M1062" s="1601"/>
      <c r="N1062" s="1601"/>
      <c r="O1062" s="1601"/>
    </row>
    <row r="1063" spans="1:15" ht="20.25">
      <c r="A1063" s="693" t="s">
        <v>923</v>
      </c>
      <c r="B1063" s="594"/>
      <c r="C1063" s="673"/>
      <c r="D1063" s="581"/>
      <c r="E1063" s="558"/>
      <c r="F1063" s="663"/>
      <c r="G1063" s="558"/>
      <c r="H1063" s="1210"/>
      <c r="K1063" s="694"/>
      <c r="L1063" s="694"/>
      <c r="M1063" s="694"/>
      <c r="N1063" s="609" t="str">
        <f>"Page "&amp;P1063&amp;" of "</f>
        <v xml:space="preserve">Page  of </v>
      </c>
      <c r="O1063" s="610">
        <f>COUNT(P$6:P$59527)</f>
        <v>10</v>
      </c>
    </row>
    <row r="1064" spans="1:15">
      <c r="B1064" s="594"/>
      <c r="C1064" s="558"/>
      <c r="D1064" s="581"/>
      <c r="E1064" s="558"/>
      <c r="F1064" s="558"/>
      <c r="G1064" s="558"/>
      <c r="H1064" s="1210"/>
      <c r="I1064" s="558"/>
      <c r="J1064" s="606"/>
      <c r="K1064" s="558"/>
      <c r="L1064" s="558"/>
      <c r="M1064" s="558"/>
      <c r="N1064" s="558"/>
      <c r="O1064" s="558"/>
    </row>
    <row r="1065" spans="1:15" ht="18">
      <c r="B1065" s="613" t="s">
        <v>175</v>
      </c>
      <c r="C1065" s="695" t="s">
        <v>291</v>
      </c>
      <c r="D1065" s="581"/>
      <c r="E1065" s="558"/>
      <c r="F1065" s="558"/>
      <c r="G1065" s="558"/>
      <c r="H1065" s="1210"/>
      <c r="I1065" s="1210"/>
      <c r="J1065" s="1211"/>
      <c r="K1065" s="1210"/>
      <c r="L1065" s="1210"/>
      <c r="M1065" s="1210"/>
      <c r="N1065" s="1210"/>
      <c r="O1065" s="558"/>
    </row>
    <row r="1066" spans="1:15" ht="18.75">
      <c r="B1066" s="613"/>
      <c r="C1066" s="612"/>
      <c r="D1066" s="581"/>
      <c r="E1066" s="558"/>
      <c r="F1066" s="558"/>
      <c r="G1066" s="558"/>
      <c r="H1066" s="1210"/>
      <c r="I1066" s="1210"/>
      <c r="J1066" s="1211"/>
      <c r="K1066" s="1210"/>
      <c r="L1066" s="1210"/>
      <c r="M1066" s="1210"/>
      <c r="N1066" s="1210"/>
      <c r="O1066" s="558"/>
    </row>
    <row r="1067" spans="1:15" ht="18.75">
      <c r="B1067" s="613"/>
      <c r="C1067" s="612" t="s">
        <v>292</v>
      </c>
      <c r="D1067" s="581"/>
      <c r="E1067" s="558"/>
      <c r="F1067" s="558"/>
      <c r="G1067" s="558"/>
      <c r="H1067" s="1210"/>
      <c r="I1067" s="1210"/>
      <c r="J1067" s="1211"/>
      <c r="K1067" s="1210"/>
      <c r="L1067" s="1210"/>
      <c r="M1067" s="1210"/>
      <c r="N1067" s="1210"/>
      <c r="O1067" s="558"/>
    </row>
    <row r="1068" spans="1:15" ht="15.75" thickBot="1">
      <c r="C1068" s="411"/>
      <c r="D1068" s="581"/>
      <c r="E1068" s="558"/>
      <c r="F1068" s="558"/>
      <c r="G1068" s="558"/>
      <c r="H1068" s="1210"/>
      <c r="I1068" s="1210"/>
      <c r="J1068" s="1211"/>
      <c r="K1068" s="1210"/>
      <c r="L1068" s="1210"/>
      <c r="M1068" s="1210"/>
      <c r="N1068" s="1210"/>
      <c r="O1068" s="558"/>
    </row>
    <row r="1069" spans="1:15" ht="15.75">
      <c r="C1069" s="614" t="s">
        <v>293</v>
      </c>
      <c r="D1069" s="581"/>
      <c r="E1069" s="558"/>
      <c r="F1069" s="558"/>
      <c r="G1069" s="1212"/>
      <c r="H1069" s="558" t="s">
        <v>272</v>
      </c>
      <c r="I1069" s="558"/>
      <c r="J1069" s="606"/>
      <c r="K1069" s="696" t="s">
        <v>297</v>
      </c>
      <c r="L1069" s="697"/>
      <c r="M1069" s="698"/>
      <c r="N1069" s="1213">
        <f>VLOOKUP(I1075,C1082:O1141,5)</f>
        <v>357987.96710261027</v>
      </c>
      <c r="O1069" s="558"/>
    </row>
    <row r="1070" spans="1:15" ht="15.75">
      <c r="C1070" s="614"/>
      <c r="D1070" s="581"/>
      <c r="E1070" s="558"/>
      <c r="F1070" s="558"/>
      <c r="G1070" s="558"/>
      <c r="H1070" s="1214"/>
      <c r="I1070" s="1214"/>
      <c r="J1070" s="1215"/>
      <c r="K1070" s="701" t="s">
        <v>298</v>
      </c>
      <c r="L1070" s="1216"/>
      <c r="M1070" s="606"/>
      <c r="N1070" s="1217">
        <f>VLOOKUP(I1075,C1082:O1141,6)</f>
        <v>357987.96710261027</v>
      </c>
      <c r="O1070" s="558"/>
    </row>
    <row r="1071" spans="1:15" ht="13.5" thickBot="1">
      <c r="C1071" s="702" t="s">
        <v>294</v>
      </c>
      <c r="D1071" s="1610" t="s">
        <v>1148</v>
      </c>
      <c r="E1071" s="1611"/>
      <c r="F1071" s="1611"/>
      <c r="G1071" s="1611"/>
      <c r="H1071" s="1611"/>
      <c r="I1071" s="1611"/>
      <c r="J1071" s="1211"/>
      <c r="K1071" s="1218" t="s">
        <v>451</v>
      </c>
      <c r="L1071" s="1219"/>
      <c r="M1071" s="1219"/>
      <c r="N1071" s="1220">
        <f>+N1070-N1069</f>
        <v>0</v>
      </c>
      <c r="O1071" s="558"/>
    </row>
    <row r="1072" spans="1:15">
      <c r="C1072" s="704"/>
      <c r="D1072" s="1611"/>
      <c r="E1072" s="1611"/>
      <c r="F1072" s="1611"/>
      <c r="G1072" s="1611"/>
      <c r="H1072" s="1611"/>
      <c r="I1072" s="1611"/>
      <c r="J1072" s="1211"/>
      <c r="K1072" s="1210"/>
      <c r="L1072" s="1210"/>
      <c r="M1072" s="1210"/>
      <c r="N1072" s="1210"/>
      <c r="O1072" s="558"/>
    </row>
    <row r="1073" spans="1:15" ht="13.5" thickBot="1">
      <c r="C1073" s="707"/>
      <c r="D1073" s="708"/>
      <c r="E1073" s="706"/>
      <c r="F1073" s="706"/>
      <c r="G1073" s="706"/>
      <c r="H1073" s="706"/>
      <c r="I1073" s="706"/>
      <c r="J1073" s="1351"/>
      <c r="K1073" s="706"/>
      <c r="L1073" s="706"/>
      <c r="M1073" s="706"/>
      <c r="N1073" s="706"/>
      <c r="O1073" s="594"/>
    </row>
    <row r="1074" spans="1:15" ht="13.5" thickBot="1">
      <c r="C1074" s="710" t="s">
        <v>295</v>
      </c>
      <c r="D1074" s="711"/>
      <c r="E1074" s="711"/>
      <c r="F1074" s="711"/>
      <c r="G1074" s="711"/>
      <c r="H1074" s="711"/>
      <c r="I1074" s="712"/>
      <c r="J1074" s="713"/>
      <c r="K1074" s="558"/>
      <c r="L1074" s="558"/>
      <c r="M1074" s="558"/>
      <c r="N1074" s="558"/>
      <c r="O1074" s="714"/>
    </row>
    <row r="1075" spans="1:15" ht="15">
      <c r="C1075" s="716" t="s">
        <v>273</v>
      </c>
      <c r="D1075" s="1221">
        <v>2542896.33</v>
      </c>
      <c r="E1075" s="673" t="s">
        <v>274</v>
      </c>
      <c r="G1075" s="717"/>
      <c r="H1075" s="717"/>
      <c r="I1075" s="718">
        <f>I986</f>
        <v>2025</v>
      </c>
      <c r="J1075" s="604"/>
      <c r="K1075" s="1600" t="s">
        <v>460</v>
      </c>
      <c r="L1075" s="1600"/>
      <c r="M1075" s="1600"/>
      <c r="N1075" s="1600"/>
      <c r="O1075" s="1600"/>
    </row>
    <row r="1076" spans="1:15">
      <c r="C1076" s="716" t="s">
        <v>276</v>
      </c>
      <c r="D1076" s="864">
        <v>2024</v>
      </c>
      <c r="E1076" s="716" t="s">
        <v>277</v>
      </c>
      <c r="F1076" s="717"/>
      <c r="H1076" s="345"/>
      <c r="I1076" s="867">
        <f>IF(G1069="",0,$F$15)</f>
        <v>0</v>
      </c>
      <c r="J1076" s="719"/>
      <c r="K1076" s="1211" t="s">
        <v>460</v>
      </c>
    </row>
    <row r="1077" spans="1:15">
      <c r="C1077" s="716" t="s">
        <v>278</v>
      </c>
      <c r="D1077" s="1221">
        <v>4</v>
      </c>
      <c r="E1077" s="716" t="s">
        <v>279</v>
      </c>
      <c r="F1077" s="717"/>
      <c r="H1077" s="345"/>
      <c r="I1077" s="720">
        <f>$G$70</f>
        <v>0.11808937687765908</v>
      </c>
      <c r="J1077" s="721"/>
      <c r="K1077" s="345" t="str">
        <f>"          INPUT PROJECTED ARR (WITH &amp; WITHOUT INCENTIVES) FROM EACH PRIOR YEAR"</f>
        <v xml:space="preserve">          INPUT PROJECTED ARR (WITH &amp; WITHOUT INCENTIVES) FROM EACH PRIOR YEAR</v>
      </c>
    </row>
    <row r="1078" spans="1:15">
      <c r="C1078" s="716" t="s">
        <v>280</v>
      </c>
      <c r="D1078" s="722">
        <f>G$79</f>
        <v>38</v>
      </c>
      <c r="E1078" s="716" t="s">
        <v>281</v>
      </c>
      <c r="F1078" s="717"/>
      <c r="H1078" s="345"/>
      <c r="I1078" s="720">
        <f>IF(G1069="",I1077,$G$67)</f>
        <v>0.11808937687765908</v>
      </c>
      <c r="J1078" s="723"/>
      <c r="K1078" s="345" t="s">
        <v>358</v>
      </c>
    </row>
    <row r="1079" spans="1:15" ht="13.5" thickBot="1">
      <c r="C1079" s="716" t="s">
        <v>282</v>
      </c>
      <c r="D1079" s="866" t="s">
        <v>925</v>
      </c>
      <c r="E1079" s="724" t="s">
        <v>283</v>
      </c>
      <c r="F1079" s="725"/>
      <c r="G1079" s="726"/>
      <c r="H1079" s="726"/>
      <c r="I1079" s="1220">
        <f>IF(D1075=0,0,D1075/D1078)</f>
        <v>66918.324473684217</v>
      </c>
      <c r="J1079" s="1211"/>
      <c r="K1079" s="1211" t="s">
        <v>364</v>
      </c>
      <c r="L1079" s="1211"/>
      <c r="M1079" s="1211"/>
      <c r="N1079" s="1211"/>
      <c r="O1079" s="606"/>
    </row>
    <row r="1080" spans="1:15" ht="51">
      <c r="A1080" s="1350"/>
      <c r="B1080" s="1222"/>
      <c r="C1080" s="727" t="s">
        <v>273</v>
      </c>
      <c r="D1080" s="1223" t="s">
        <v>284</v>
      </c>
      <c r="E1080" s="1224" t="s">
        <v>285</v>
      </c>
      <c r="F1080" s="1223" t="s">
        <v>286</v>
      </c>
      <c r="G1080" s="1224" t="s">
        <v>357</v>
      </c>
      <c r="H1080" s="1225" t="s">
        <v>357</v>
      </c>
      <c r="I1080" s="727" t="s">
        <v>296</v>
      </c>
      <c r="J1080" s="731"/>
      <c r="K1080" s="1224" t="s">
        <v>366</v>
      </c>
      <c r="L1080" s="1226"/>
      <c r="M1080" s="1224" t="s">
        <v>366</v>
      </c>
      <c r="N1080" s="1226"/>
      <c r="O1080" s="1226"/>
    </row>
    <row r="1081" spans="1:15" ht="13.5" thickBot="1">
      <c r="C1081" s="733" t="s">
        <v>178</v>
      </c>
      <c r="D1081" s="734" t="s">
        <v>179</v>
      </c>
      <c r="E1081" s="733" t="s">
        <v>38</v>
      </c>
      <c r="F1081" s="734" t="s">
        <v>179</v>
      </c>
      <c r="G1081" s="1227" t="s">
        <v>299</v>
      </c>
      <c r="H1081" s="1228" t="s">
        <v>301</v>
      </c>
      <c r="I1081" s="737" t="s">
        <v>390</v>
      </c>
      <c r="J1081" s="738"/>
      <c r="K1081" s="1227" t="s">
        <v>288</v>
      </c>
      <c r="L1081" s="1229"/>
      <c r="M1081" s="1227" t="s">
        <v>301</v>
      </c>
      <c r="N1081" s="1229"/>
      <c r="O1081" s="1229"/>
    </row>
    <row r="1082" spans="1:15">
      <c r="C1082" s="739">
        <f>IF(D1076= "","-",D1076)</f>
        <v>2024</v>
      </c>
      <c r="D1082" s="691">
        <f>+D1075</f>
        <v>2542896.33</v>
      </c>
      <c r="E1082" s="1230">
        <f>+I1079/12*(12-D1077)</f>
        <v>44612.216315789476</v>
      </c>
      <c r="F1082" s="691">
        <f>+D1082-E1082</f>
        <v>2498284.1136842105</v>
      </c>
      <c r="G1082" s="1231">
        <f>+$I$810*((D1082+F1082)/2)+E1082</f>
        <v>342267.1449770442</v>
      </c>
      <c r="H1082" s="1232">
        <f>+$I$811*((D1082+F1082)/2)+E1082</f>
        <v>342267.1449770442</v>
      </c>
      <c r="I1082" s="743">
        <f>+H1082-G1082</f>
        <v>0</v>
      </c>
      <c r="J1082" s="743"/>
      <c r="K1082" s="869">
        <v>342415.66537089163</v>
      </c>
      <c r="L1082" s="745"/>
      <c r="M1082" s="869">
        <v>342415.66537089163</v>
      </c>
      <c r="N1082" s="745"/>
      <c r="O1082" s="745"/>
    </row>
    <row r="1083" spans="1:15">
      <c r="C1083" s="739">
        <f>IF(D1076="","-",+C1082+1)</f>
        <v>2025</v>
      </c>
      <c r="D1083" s="691">
        <f t="shared" ref="D1083:D1141" si="66">F1082</f>
        <v>2498284.1136842105</v>
      </c>
      <c r="E1083" s="746">
        <f>IF(D1083&gt;$I$1079,$I$1079,D1083)</f>
        <v>66918.324473684217</v>
      </c>
      <c r="F1083" s="691">
        <f>+D1083-E1083</f>
        <v>2431365.7892105263</v>
      </c>
      <c r="G1083" s="1230">
        <f>+$I$810*((D1083+F1083)/2)+E1083</f>
        <v>357987.96710261027</v>
      </c>
      <c r="H1083" s="1233">
        <f>+$I$810*((D1083+F1083)/2)+E1083</f>
        <v>357987.96710261027</v>
      </c>
      <c r="I1083" s="743">
        <f t="shared" ref="I1083:I1141" si="67">+H1083-G1083</f>
        <v>0</v>
      </c>
      <c r="J1083" s="743"/>
      <c r="K1083" s="869">
        <v>0</v>
      </c>
      <c r="L1083" s="749"/>
      <c r="M1083" s="869">
        <v>0</v>
      </c>
      <c r="N1083" s="749"/>
      <c r="O1083" s="749"/>
    </row>
    <row r="1084" spans="1:15">
      <c r="C1084" s="1247">
        <f>IF(D1076="","-",+C1083+1)</f>
        <v>2026</v>
      </c>
      <c r="D1084" s="1235">
        <f t="shared" si="66"/>
        <v>2431365.7892105263</v>
      </c>
      <c r="E1084" s="746">
        <f t="shared" ref="E1084:E1141" si="68">IF(D1084&gt;$I$1079,$I$1079,D1084)</f>
        <v>66918.324473684217</v>
      </c>
      <c r="F1084" s="691">
        <f t="shared" ref="F1084:F1141" si="69">+D1084-E1084</f>
        <v>2364447.4647368421</v>
      </c>
      <c r="G1084" s="1230">
        <f t="shared" ref="G1084:G1141" si="70">+$I$810*((D1084+F1084)/2)+E1084</f>
        <v>350085.6238638158</v>
      </c>
      <c r="H1084" s="1233">
        <f t="shared" ref="H1084:H1141" si="71">+$I$810*((D1084+F1084)/2)+E1084</f>
        <v>350085.6238638158</v>
      </c>
      <c r="I1084" s="1239">
        <f t="shared" si="67"/>
        <v>0</v>
      </c>
      <c r="J1084" s="743"/>
      <c r="K1084" s="869"/>
      <c r="L1084" s="749"/>
      <c r="M1084" s="869"/>
      <c r="N1084" s="749"/>
      <c r="O1084" s="749"/>
    </row>
    <row r="1085" spans="1:15">
      <c r="C1085" s="739">
        <f>IF(D1076="","-",+C1084+1)</f>
        <v>2027</v>
      </c>
      <c r="D1085" s="691">
        <f t="shared" si="66"/>
        <v>2364447.4647368421</v>
      </c>
      <c r="E1085" s="746">
        <f t="shared" si="68"/>
        <v>66918.324473684217</v>
      </c>
      <c r="F1085" s="691">
        <f t="shared" si="69"/>
        <v>2297529.1402631579</v>
      </c>
      <c r="G1085" s="1230">
        <f t="shared" si="70"/>
        <v>342183.28062502155</v>
      </c>
      <c r="H1085" s="1233">
        <f t="shared" si="71"/>
        <v>342183.28062502155</v>
      </c>
      <c r="I1085" s="743">
        <f t="shared" si="67"/>
        <v>0</v>
      </c>
      <c r="J1085" s="743"/>
      <c r="K1085" s="869"/>
      <c r="L1085" s="749"/>
      <c r="M1085" s="869"/>
      <c r="N1085" s="749"/>
      <c r="O1085" s="749"/>
    </row>
    <row r="1086" spans="1:15">
      <c r="C1086" s="739">
        <f>IF(D1076="","-",+C1085+1)</f>
        <v>2028</v>
      </c>
      <c r="D1086" s="691">
        <f t="shared" si="66"/>
        <v>2297529.1402631579</v>
      </c>
      <c r="E1086" s="746">
        <f t="shared" si="68"/>
        <v>66918.324473684217</v>
      </c>
      <c r="F1086" s="691">
        <f t="shared" si="69"/>
        <v>2230610.8157894737</v>
      </c>
      <c r="G1086" s="1230">
        <f t="shared" si="70"/>
        <v>334280.93738622707</v>
      </c>
      <c r="H1086" s="1233">
        <f t="shared" si="71"/>
        <v>334280.93738622707</v>
      </c>
      <c r="I1086" s="743">
        <f t="shared" si="67"/>
        <v>0</v>
      </c>
      <c r="J1086" s="743"/>
      <c r="K1086" s="869"/>
      <c r="L1086" s="749"/>
      <c r="M1086" s="869"/>
      <c r="N1086" s="749"/>
      <c r="O1086" s="749"/>
    </row>
    <row r="1087" spans="1:15">
      <c r="C1087" s="739">
        <f>IF(D1076="","-",+C1086+1)</f>
        <v>2029</v>
      </c>
      <c r="D1087" s="691">
        <f t="shared" si="66"/>
        <v>2230610.8157894737</v>
      </c>
      <c r="E1087" s="746">
        <f t="shared" si="68"/>
        <v>66918.324473684217</v>
      </c>
      <c r="F1087" s="691">
        <f t="shared" si="69"/>
        <v>2163692.4913157895</v>
      </c>
      <c r="G1087" s="1230">
        <f t="shared" si="70"/>
        <v>326378.59414743283</v>
      </c>
      <c r="H1087" s="1233">
        <f t="shared" si="71"/>
        <v>326378.59414743283</v>
      </c>
      <c r="I1087" s="743">
        <f t="shared" si="67"/>
        <v>0</v>
      </c>
      <c r="J1087" s="743"/>
      <c r="K1087" s="869"/>
      <c r="L1087" s="749"/>
      <c r="M1087" s="869"/>
      <c r="N1087" s="749"/>
      <c r="O1087" s="749"/>
    </row>
    <row r="1088" spans="1:15">
      <c r="C1088" s="739">
        <f>IF(D1076="","-",+C1087+1)</f>
        <v>2030</v>
      </c>
      <c r="D1088" s="691">
        <f t="shared" si="66"/>
        <v>2163692.4913157895</v>
      </c>
      <c r="E1088" s="746">
        <f t="shared" si="68"/>
        <v>66918.324473684217</v>
      </c>
      <c r="F1088" s="691">
        <f t="shared" si="69"/>
        <v>2096774.1668421053</v>
      </c>
      <c r="G1088" s="1230">
        <f t="shared" si="70"/>
        <v>318476.25090863835</v>
      </c>
      <c r="H1088" s="1233">
        <f t="shared" si="71"/>
        <v>318476.25090863835</v>
      </c>
      <c r="I1088" s="743">
        <f t="shared" si="67"/>
        <v>0</v>
      </c>
      <c r="J1088" s="743"/>
      <c r="K1088" s="869"/>
      <c r="L1088" s="749"/>
      <c r="M1088" s="869"/>
      <c r="N1088" s="749"/>
      <c r="O1088" s="749"/>
    </row>
    <row r="1089" spans="3:15">
      <c r="C1089" s="739">
        <f>IF(D1076="","-",+C1088+1)</f>
        <v>2031</v>
      </c>
      <c r="D1089" s="691">
        <f t="shared" si="66"/>
        <v>2096774.1668421053</v>
      </c>
      <c r="E1089" s="746">
        <f t="shared" si="68"/>
        <v>66918.324473684217</v>
      </c>
      <c r="F1089" s="691">
        <f t="shared" si="69"/>
        <v>2029855.8423684211</v>
      </c>
      <c r="G1089" s="1230">
        <f t="shared" si="70"/>
        <v>310573.90766984399</v>
      </c>
      <c r="H1089" s="1233">
        <f t="shared" si="71"/>
        <v>310573.90766984399</v>
      </c>
      <c r="I1089" s="743">
        <f t="shared" si="67"/>
        <v>0</v>
      </c>
      <c r="J1089" s="743"/>
      <c r="K1089" s="869"/>
      <c r="L1089" s="749"/>
      <c r="M1089" s="869"/>
      <c r="N1089" s="749"/>
      <c r="O1089" s="749"/>
    </row>
    <row r="1090" spans="3:15">
      <c r="C1090" s="739">
        <f>IF(D1076="","-",+C1089+1)</f>
        <v>2032</v>
      </c>
      <c r="D1090" s="691">
        <f t="shared" si="66"/>
        <v>2029855.8423684211</v>
      </c>
      <c r="E1090" s="746">
        <f t="shared" si="68"/>
        <v>66918.324473684217</v>
      </c>
      <c r="F1090" s="691">
        <f t="shared" si="69"/>
        <v>1962937.517894737</v>
      </c>
      <c r="G1090" s="1230">
        <f t="shared" si="70"/>
        <v>302671.56443104963</v>
      </c>
      <c r="H1090" s="1233">
        <f t="shared" si="71"/>
        <v>302671.56443104963</v>
      </c>
      <c r="I1090" s="743">
        <f t="shared" si="67"/>
        <v>0</v>
      </c>
      <c r="J1090" s="743"/>
      <c r="K1090" s="869"/>
      <c r="L1090" s="749"/>
      <c r="M1090" s="869"/>
      <c r="N1090" s="749"/>
      <c r="O1090" s="749"/>
    </row>
    <row r="1091" spans="3:15">
      <c r="C1091" s="739">
        <f>IF(D1076="","-",+C1090+1)</f>
        <v>2033</v>
      </c>
      <c r="D1091" s="691">
        <f t="shared" si="66"/>
        <v>1962937.517894737</v>
      </c>
      <c r="E1091" s="746">
        <f t="shared" si="68"/>
        <v>66918.324473684217</v>
      </c>
      <c r="F1091" s="691">
        <f t="shared" si="69"/>
        <v>1896019.1934210528</v>
      </c>
      <c r="G1091" s="1230">
        <f t="shared" si="70"/>
        <v>294769.22119225527</v>
      </c>
      <c r="H1091" s="1233">
        <f t="shared" si="71"/>
        <v>294769.22119225527</v>
      </c>
      <c r="I1091" s="743">
        <f t="shared" si="67"/>
        <v>0</v>
      </c>
      <c r="J1091" s="743"/>
      <c r="K1091" s="869"/>
      <c r="L1091" s="749"/>
      <c r="M1091" s="869"/>
      <c r="N1091" s="749"/>
      <c r="O1091" s="749"/>
    </row>
    <row r="1092" spans="3:15">
      <c r="C1092" s="739">
        <f>IF(D1076="","-",+C1091+1)</f>
        <v>2034</v>
      </c>
      <c r="D1092" s="691">
        <f t="shared" si="66"/>
        <v>1896019.1934210528</v>
      </c>
      <c r="E1092" s="746">
        <f t="shared" si="68"/>
        <v>66918.324473684217</v>
      </c>
      <c r="F1092" s="691">
        <f t="shared" si="69"/>
        <v>1829100.8689473686</v>
      </c>
      <c r="G1092" s="1230">
        <f t="shared" si="70"/>
        <v>286866.87795346091</v>
      </c>
      <c r="H1092" s="1233">
        <f t="shared" si="71"/>
        <v>286866.87795346091</v>
      </c>
      <c r="I1092" s="743">
        <f t="shared" si="67"/>
        <v>0</v>
      </c>
      <c r="J1092" s="743"/>
      <c r="K1092" s="869"/>
      <c r="L1092" s="749"/>
      <c r="M1092" s="869"/>
      <c r="N1092" s="749"/>
      <c r="O1092" s="749"/>
    </row>
    <row r="1093" spans="3:15">
      <c r="C1093" s="739">
        <f>IF(D1076="","-",+C1092+1)</f>
        <v>2035</v>
      </c>
      <c r="D1093" s="691">
        <f t="shared" si="66"/>
        <v>1829100.8689473686</v>
      </c>
      <c r="E1093" s="746">
        <f t="shared" si="68"/>
        <v>66918.324473684217</v>
      </c>
      <c r="F1093" s="691">
        <f t="shared" si="69"/>
        <v>1762182.5444736844</v>
      </c>
      <c r="G1093" s="1230">
        <f t="shared" si="70"/>
        <v>278964.53471466654</v>
      </c>
      <c r="H1093" s="1233">
        <f t="shared" si="71"/>
        <v>278964.53471466654</v>
      </c>
      <c r="I1093" s="743">
        <f t="shared" si="67"/>
        <v>0</v>
      </c>
      <c r="J1093" s="743"/>
      <c r="K1093" s="869"/>
      <c r="L1093" s="749"/>
      <c r="M1093" s="869"/>
      <c r="N1093" s="749"/>
      <c r="O1093" s="749"/>
    </row>
    <row r="1094" spans="3:15">
      <c r="C1094" s="739">
        <f>IF(D1076="","-",+C1093+1)</f>
        <v>2036</v>
      </c>
      <c r="D1094" s="691">
        <f t="shared" si="66"/>
        <v>1762182.5444736844</v>
      </c>
      <c r="E1094" s="746">
        <f t="shared" si="68"/>
        <v>66918.324473684217</v>
      </c>
      <c r="F1094" s="691">
        <f t="shared" si="69"/>
        <v>1695264.2200000002</v>
      </c>
      <c r="G1094" s="1230">
        <f t="shared" si="70"/>
        <v>271062.19147587218</v>
      </c>
      <c r="H1094" s="1233">
        <f t="shared" si="71"/>
        <v>271062.19147587218</v>
      </c>
      <c r="I1094" s="743">
        <f t="shared" si="67"/>
        <v>0</v>
      </c>
      <c r="J1094" s="743"/>
      <c r="K1094" s="869"/>
      <c r="L1094" s="749"/>
      <c r="M1094" s="869"/>
      <c r="N1094" s="749"/>
      <c r="O1094" s="749"/>
    </row>
    <row r="1095" spans="3:15">
      <c r="C1095" s="739">
        <f>IF(D1076="","-",+C1094+1)</f>
        <v>2037</v>
      </c>
      <c r="D1095" s="691">
        <f t="shared" si="66"/>
        <v>1695264.2200000002</v>
      </c>
      <c r="E1095" s="746">
        <f t="shared" si="68"/>
        <v>66918.324473684217</v>
      </c>
      <c r="F1095" s="691">
        <f t="shared" si="69"/>
        <v>1628345.895526316</v>
      </c>
      <c r="G1095" s="1230">
        <f t="shared" si="70"/>
        <v>263159.84823707782</v>
      </c>
      <c r="H1095" s="1233">
        <f t="shared" si="71"/>
        <v>263159.84823707782</v>
      </c>
      <c r="I1095" s="743">
        <f t="shared" si="67"/>
        <v>0</v>
      </c>
      <c r="J1095" s="743"/>
      <c r="K1095" s="869"/>
      <c r="L1095" s="749"/>
      <c r="M1095" s="869"/>
      <c r="N1095" s="749"/>
      <c r="O1095" s="749"/>
    </row>
    <row r="1096" spans="3:15">
      <c r="C1096" s="739">
        <f>IF(D1076="","-",+C1095+1)</f>
        <v>2038</v>
      </c>
      <c r="D1096" s="691">
        <f t="shared" si="66"/>
        <v>1628345.895526316</v>
      </c>
      <c r="E1096" s="746">
        <f t="shared" si="68"/>
        <v>66918.324473684217</v>
      </c>
      <c r="F1096" s="691">
        <f t="shared" si="69"/>
        <v>1561427.5710526318</v>
      </c>
      <c r="G1096" s="1230">
        <f t="shared" si="70"/>
        <v>255257.50499828343</v>
      </c>
      <c r="H1096" s="1233">
        <f t="shared" si="71"/>
        <v>255257.50499828343</v>
      </c>
      <c r="I1096" s="743">
        <f t="shared" si="67"/>
        <v>0</v>
      </c>
      <c r="J1096" s="743"/>
      <c r="K1096" s="869"/>
      <c r="L1096" s="749"/>
      <c r="M1096" s="869"/>
      <c r="N1096" s="749"/>
      <c r="O1096" s="749"/>
    </row>
    <row r="1097" spans="3:15">
      <c r="C1097" s="739">
        <f>IF(D1076="","-",+C1096+1)</f>
        <v>2039</v>
      </c>
      <c r="D1097" s="691">
        <f t="shared" si="66"/>
        <v>1561427.5710526318</v>
      </c>
      <c r="E1097" s="746">
        <f t="shared" si="68"/>
        <v>66918.324473684217</v>
      </c>
      <c r="F1097" s="691">
        <f t="shared" si="69"/>
        <v>1494509.2465789476</v>
      </c>
      <c r="G1097" s="1230">
        <f t="shared" si="70"/>
        <v>247355.16175948907</v>
      </c>
      <c r="H1097" s="1233">
        <f t="shared" si="71"/>
        <v>247355.16175948907</v>
      </c>
      <c r="I1097" s="743">
        <f t="shared" si="67"/>
        <v>0</v>
      </c>
      <c r="J1097" s="743"/>
      <c r="K1097" s="869"/>
      <c r="L1097" s="749"/>
      <c r="M1097" s="869"/>
      <c r="N1097" s="749"/>
      <c r="O1097" s="749"/>
    </row>
    <row r="1098" spans="3:15">
      <c r="C1098" s="739">
        <f>IF(D1076="","-",+C1097+1)</f>
        <v>2040</v>
      </c>
      <c r="D1098" s="691">
        <f t="shared" si="66"/>
        <v>1494509.2465789476</v>
      </c>
      <c r="E1098" s="746">
        <f t="shared" si="68"/>
        <v>66918.324473684217</v>
      </c>
      <c r="F1098" s="691">
        <f t="shared" si="69"/>
        <v>1427590.9221052635</v>
      </c>
      <c r="G1098" s="1230">
        <f t="shared" si="70"/>
        <v>239452.81852069471</v>
      </c>
      <c r="H1098" s="1233">
        <f t="shared" si="71"/>
        <v>239452.81852069471</v>
      </c>
      <c r="I1098" s="743">
        <f t="shared" si="67"/>
        <v>0</v>
      </c>
      <c r="J1098" s="743"/>
      <c r="K1098" s="869"/>
      <c r="L1098" s="749"/>
      <c r="M1098" s="869"/>
      <c r="N1098" s="749"/>
      <c r="O1098" s="749"/>
    </row>
    <row r="1099" spans="3:15">
      <c r="C1099" s="739">
        <f>IF(D1076="","-",+C1098+1)</f>
        <v>2041</v>
      </c>
      <c r="D1099" s="691">
        <f t="shared" si="66"/>
        <v>1427590.9221052635</v>
      </c>
      <c r="E1099" s="746">
        <f t="shared" si="68"/>
        <v>66918.324473684217</v>
      </c>
      <c r="F1099" s="691">
        <f t="shared" si="69"/>
        <v>1360672.5976315793</v>
      </c>
      <c r="G1099" s="1230">
        <f t="shared" si="70"/>
        <v>231550.47528190035</v>
      </c>
      <c r="H1099" s="1233">
        <f t="shared" si="71"/>
        <v>231550.47528190035</v>
      </c>
      <c r="I1099" s="743">
        <f t="shared" si="67"/>
        <v>0</v>
      </c>
      <c r="J1099" s="743"/>
      <c r="K1099" s="869"/>
      <c r="L1099" s="749"/>
      <c r="M1099" s="869"/>
      <c r="N1099" s="749"/>
      <c r="O1099" s="749"/>
    </row>
    <row r="1100" spans="3:15">
      <c r="C1100" s="739">
        <f>IF(D1076="","-",+C1099+1)</f>
        <v>2042</v>
      </c>
      <c r="D1100" s="691">
        <f t="shared" si="66"/>
        <v>1360672.5976315793</v>
      </c>
      <c r="E1100" s="746">
        <f t="shared" si="68"/>
        <v>66918.324473684217</v>
      </c>
      <c r="F1100" s="691">
        <f t="shared" si="69"/>
        <v>1293754.2731578951</v>
      </c>
      <c r="G1100" s="1230">
        <f t="shared" si="70"/>
        <v>223648.13204310596</v>
      </c>
      <c r="H1100" s="1233">
        <f t="shared" si="71"/>
        <v>223648.13204310596</v>
      </c>
      <c r="I1100" s="743">
        <f t="shared" si="67"/>
        <v>0</v>
      </c>
      <c r="J1100" s="743"/>
      <c r="K1100" s="869"/>
      <c r="L1100" s="749"/>
      <c r="M1100" s="869"/>
      <c r="N1100" s="749"/>
      <c r="O1100" s="749"/>
    </row>
    <row r="1101" spans="3:15">
      <c r="C1101" s="739">
        <f>IF(D1076="","-",+C1100+1)</f>
        <v>2043</v>
      </c>
      <c r="D1101" s="691">
        <f t="shared" si="66"/>
        <v>1293754.2731578951</v>
      </c>
      <c r="E1101" s="746">
        <f t="shared" si="68"/>
        <v>66918.324473684217</v>
      </c>
      <c r="F1101" s="691">
        <f t="shared" si="69"/>
        <v>1226835.9486842109</v>
      </c>
      <c r="G1101" s="1230">
        <f t="shared" si="70"/>
        <v>215745.7888043116</v>
      </c>
      <c r="H1101" s="1233">
        <f t="shared" si="71"/>
        <v>215745.7888043116</v>
      </c>
      <c r="I1101" s="743">
        <f t="shared" si="67"/>
        <v>0</v>
      </c>
      <c r="J1101" s="743"/>
      <c r="K1101" s="869"/>
      <c r="L1101" s="749"/>
      <c r="M1101" s="869"/>
      <c r="N1101" s="749"/>
      <c r="O1101" s="749"/>
    </row>
    <row r="1102" spans="3:15">
      <c r="C1102" s="739">
        <f>IF(D1076="","-",+C1101+1)</f>
        <v>2044</v>
      </c>
      <c r="D1102" s="691">
        <f t="shared" si="66"/>
        <v>1226835.9486842109</v>
      </c>
      <c r="E1102" s="746">
        <f t="shared" si="68"/>
        <v>66918.324473684217</v>
      </c>
      <c r="F1102" s="691">
        <f t="shared" si="69"/>
        <v>1159917.6242105267</v>
      </c>
      <c r="G1102" s="1230">
        <f t="shared" si="70"/>
        <v>207843.44556551724</v>
      </c>
      <c r="H1102" s="1233">
        <f t="shared" si="71"/>
        <v>207843.44556551724</v>
      </c>
      <c r="I1102" s="743">
        <f t="shared" si="67"/>
        <v>0</v>
      </c>
      <c r="J1102" s="743"/>
      <c r="K1102" s="869"/>
      <c r="L1102" s="749"/>
      <c r="M1102" s="869"/>
      <c r="N1102" s="749"/>
      <c r="O1102" s="749"/>
    </row>
    <row r="1103" spans="3:15">
      <c r="C1103" s="739">
        <f>IF(D1076="","-",+C1102+1)</f>
        <v>2045</v>
      </c>
      <c r="D1103" s="691">
        <f t="shared" si="66"/>
        <v>1159917.6242105267</v>
      </c>
      <c r="E1103" s="746">
        <f t="shared" si="68"/>
        <v>66918.324473684217</v>
      </c>
      <c r="F1103" s="691">
        <f t="shared" si="69"/>
        <v>1092999.2997368425</v>
      </c>
      <c r="G1103" s="1230">
        <f t="shared" si="70"/>
        <v>199941.10232672284</v>
      </c>
      <c r="H1103" s="1233">
        <f t="shared" si="71"/>
        <v>199941.10232672284</v>
      </c>
      <c r="I1103" s="743">
        <f t="shared" si="67"/>
        <v>0</v>
      </c>
      <c r="J1103" s="743"/>
      <c r="K1103" s="869"/>
      <c r="L1103" s="749"/>
      <c r="M1103" s="869"/>
      <c r="N1103" s="749"/>
      <c r="O1103" s="749"/>
    </row>
    <row r="1104" spans="3:15">
      <c r="C1104" s="739">
        <f>IF(D1076="","-",+C1103+1)</f>
        <v>2046</v>
      </c>
      <c r="D1104" s="691">
        <f t="shared" si="66"/>
        <v>1092999.2997368425</v>
      </c>
      <c r="E1104" s="746">
        <f t="shared" si="68"/>
        <v>66918.324473684217</v>
      </c>
      <c r="F1104" s="691">
        <f t="shared" si="69"/>
        <v>1026080.9752631583</v>
      </c>
      <c r="G1104" s="1230">
        <f t="shared" si="70"/>
        <v>192038.75908792848</v>
      </c>
      <c r="H1104" s="1233">
        <f t="shared" si="71"/>
        <v>192038.75908792848</v>
      </c>
      <c r="I1104" s="743">
        <f t="shared" si="67"/>
        <v>0</v>
      </c>
      <c r="J1104" s="743"/>
      <c r="K1104" s="869"/>
      <c r="L1104" s="749"/>
      <c r="M1104" s="869"/>
      <c r="N1104" s="749"/>
      <c r="O1104" s="749"/>
    </row>
    <row r="1105" spans="3:15">
      <c r="C1105" s="739">
        <f>IF(D1076="","-",+C1104+1)</f>
        <v>2047</v>
      </c>
      <c r="D1105" s="691">
        <f t="shared" si="66"/>
        <v>1026080.9752631583</v>
      </c>
      <c r="E1105" s="746">
        <f t="shared" si="68"/>
        <v>66918.324473684217</v>
      </c>
      <c r="F1105" s="691">
        <f t="shared" si="69"/>
        <v>959162.65078947414</v>
      </c>
      <c r="G1105" s="1230">
        <f t="shared" si="70"/>
        <v>184136.41584913412</v>
      </c>
      <c r="H1105" s="1233">
        <f t="shared" si="71"/>
        <v>184136.41584913412</v>
      </c>
      <c r="I1105" s="743">
        <f t="shared" si="67"/>
        <v>0</v>
      </c>
      <c r="J1105" s="743"/>
      <c r="K1105" s="869"/>
      <c r="L1105" s="749"/>
      <c r="M1105" s="869"/>
      <c r="N1105" s="749"/>
      <c r="O1105" s="749"/>
    </row>
    <row r="1106" spans="3:15">
      <c r="C1106" s="739">
        <f>IF(D1076="","-",+C1105+1)</f>
        <v>2048</v>
      </c>
      <c r="D1106" s="691">
        <f t="shared" si="66"/>
        <v>959162.65078947414</v>
      </c>
      <c r="E1106" s="746">
        <f t="shared" si="68"/>
        <v>66918.324473684217</v>
      </c>
      <c r="F1106" s="691">
        <f t="shared" si="69"/>
        <v>892244.32631578995</v>
      </c>
      <c r="G1106" s="1230">
        <f t="shared" si="70"/>
        <v>176234.07261033973</v>
      </c>
      <c r="H1106" s="1233">
        <f t="shared" si="71"/>
        <v>176234.07261033973</v>
      </c>
      <c r="I1106" s="743">
        <f t="shared" si="67"/>
        <v>0</v>
      </c>
      <c r="J1106" s="743"/>
      <c r="K1106" s="869"/>
      <c r="L1106" s="749"/>
      <c r="M1106" s="869"/>
      <c r="N1106" s="749"/>
      <c r="O1106" s="749"/>
    </row>
    <row r="1107" spans="3:15">
      <c r="C1107" s="739">
        <f>IF(D1076="","-",+C1106+1)</f>
        <v>2049</v>
      </c>
      <c r="D1107" s="691">
        <f t="shared" si="66"/>
        <v>892244.32631578995</v>
      </c>
      <c r="E1107" s="746">
        <f t="shared" si="68"/>
        <v>66918.324473684217</v>
      </c>
      <c r="F1107" s="691">
        <f t="shared" si="69"/>
        <v>825326.00184210576</v>
      </c>
      <c r="G1107" s="1230">
        <f t="shared" si="70"/>
        <v>168331.72937154537</v>
      </c>
      <c r="H1107" s="1233">
        <f t="shared" si="71"/>
        <v>168331.72937154537</v>
      </c>
      <c r="I1107" s="743">
        <f t="shared" si="67"/>
        <v>0</v>
      </c>
      <c r="J1107" s="743"/>
      <c r="K1107" s="869"/>
      <c r="L1107" s="749"/>
      <c r="M1107" s="869"/>
      <c r="N1107" s="749"/>
      <c r="O1107" s="749"/>
    </row>
    <row r="1108" spans="3:15">
      <c r="C1108" s="739">
        <f>IF(D1076="","-",+C1107+1)</f>
        <v>2050</v>
      </c>
      <c r="D1108" s="691">
        <f t="shared" si="66"/>
        <v>825326.00184210576</v>
      </c>
      <c r="E1108" s="746">
        <f t="shared" si="68"/>
        <v>66918.324473684217</v>
      </c>
      <c r="F1108" s="691">
        <f t="shared" si="69"/>
        <v>758407.67736842157</v>
      </c>
      <c r="G1108" s="1230">
        <f t="shared" si="70"/>
        <v>160429.38613275101</v>
      </c>
      <c r="H1108" s="1233">
        <f t="shared" si="71"/>
        <v>160429.38613275101</v>
      </c>
      <c r="I1108" s="743">
        <f t="shared" si="67"/>
        <v>0</v>
      </c>
      <c r="J1108" s="743"/>
      <c r="K1108" s="869"/>
      <c r="L1108" s="749"/>
      <c r="M1108" s="869"/>
      <c r="N1108" s="749"/>
      <c r="O1108" s="749"/>
    </row>
    <row r="1109" spans="3:15">
      <c r="C1109" s="739">
        <f>IF(D1076="","-",+C1108+1)</f>
        <v>2051</v>
      </c>
      <c r="D1109" s="691">
        <f t="shared" si="66"/>
        <v>758407.67736842157</v>
      </c>
      <c r="E1109" s="746">
        <f t="shared" si="68"/>
        <v>66918.324473684217</v>
      </c>
      <c r="F1109" s="691">
        <f t="shared" si="69"/>
        <v>691489.35289473739</v>
      </c>
      <c r="G1109" s="1230">
        <f t="shared" si="70"/>
        <v>152527.04289395665</v>
      </c>
      <c r="H1109" s="1233">
        <f t="shared" si="71"/>
        <v>152527.04289395665</v>
      </c>
      <c r="I1109" s="743">
        <f t="shared" si="67"/>
        <v>0</v>
      </c>
      <c r="J1109" s="743"/>
      <c r="K1109" s="869"/>
      <c r="L1109" s="749"/>
      <c r="M1109" s="869"/>
      <c r="N1109" s="749"/>
      <c r="O1109" s="749"/>
    </row>
    <row r="1110" spans="3:15">
      <c r="C1110" s="739">
        <f>IF(D1076="","-",+C1109+1)</f>
        <v>2052</v>
      </c>
      <c r="D1110" s="691">
        <f t="shared" si="66"/>
        <v>691489.35289473739</v>
      </c>
      <c r="E1110" s="746">
        <f t="shared" si="68"/>
        <v>66918.324473684217</v>
      </c>
      <c r="F1110" s="691">
        <f t="shared" si="69"/>
        <v>624571.0284210532</v>
      </c>
      <c r="G1110" s="1230">
        <f t="shared" si="70"/>
        <v>144624.69965516229</v>
      </c>
      <c r="H1110" s="1233">
        <f t="shared" si="71"/>
        <v>144624.69965516229</v>
      </c>
      <c r="I1110" s="743">
        <f t="shared" si="67"/>
        <v>0</v>
      </c>
      <c r="J1110" s="743"/>
      <c r="K1110" s="869"/>
      <c r="L1110" s="749"/>
      <c r="M1110" s="869"/>
      <c r="N1110" s="749"/>
      <c r="O1110" s="749"/>
    </row>
    <row r="1111" spans="3:15">
      <c r="C1111" s="739">
        <f>IF(D1076="","-",+C1110+1)</f>
        <v>2053</v>
      </c>
      <c r="D1111" s="691">
        <f t="shared" si="66"/>
        <v>624571.0284210532</v>
      </c>
      <c r="E1111" s="746">
        <f t="shared" si="68"/>
        <v>66918.324473684217</v>
      </c>
      <c r="F1111" s="691">
        <f t="shared" si="69"/>
        <v>557652.70394736901</v>
      </c>
      <c r="G1111" s="1230">
        <f t="shared" si="70"/>
        <v>136722.35641636793</v>
      </c>
      <c r="H1111" s="1233">
        <f t="shared" si="71"/>
        <v>136722.35641636793</v>
      </c>
      <c r="I1111" s="743">
        <f t="shared" si="67"/>
        <v>0</v>
      </c>
      <c r="J1111" s="743"/>
      <c r="K1111" s="869"/>
      <c r="L1111" s="749"/>
      <c r="M1111" s="869"/>
      <c r="N1111" s="749"/>
      <c r="O1111" s="749"/>
    </row>
    <row r="1112" spans="3:15">
      <c r="C1112" s="739">
        <f>IF(D1076="","-",+C1111+1)</f>
        <v>2054</v>
      </c>
      <c r="D1112" s="691">
        <f t="shared" si="66"/>
        <v>557652.70394736901</v>
      </c>
      <c r="E1112" s="746">
        <f t="shared" si="68"/>
        <v>66918.324473684217</v>
      </c>
      <c r="F1112" s="691">
        <f t="shared" si="69"/>
        <v>490734.37947368482</v>
      </c>
      <c r="G1112" s="1230">
        <f t="shared" si="70"/>
        <v>128820.01317757354</v>
      </c>
      <c r="H1112" s="1233">
        <f t="shared" si="71"/>
        <v>128820.01317757354</v>
      </c>
      <c r="I1112" s="743">
        <f t="shared" si="67"/>
        <v>0</v>
      </c>
      <c r="J1112" s="743"/>
      <c r="K1112" s="869"/>
      <c r="L1112" s="749"/>
      <c r="M1112" s="869"/>
      <c r="N1112" s="749"/>
      <c r="O1112" s="749"/>
    </row>
    <row r="1113" spans="3:15">
      <c r="C1113" s="739">
        <f>IF(D1076="","-",+C1112+1)</f>
        <v>2055</v>
      </c>
      <c r="D1113" s="691">
        <f t="shared" si="66"/>
        <v>490734.37947368482</v>
      </c>
      <c r="E1113" s="746">
        <f t="shared" si="68"/>
        <v>66918.324473684217</v>
      </c>
      <c r="F1113" s="691">
        <f t="shared" si="69"/>
        <v>423816.05500000063</v>
      </c>
      <c r="G1113" s="1230">
        <f t="shared" si="70"/>
        <v>120917.66993877917</v>
      </c>
      <c r="H1113" s="1233">
        <f t="shared" si="71"/>
        <v>120917.66993877917</v>
      </c>
      <c r="I1113" s="743">
        <f t="shared" si="67"/>
        <v>0</v>
      </c>
      <c r="J1113" s="743"/>
      <c r="K1113" s="869"/>
      <c r="L1113" s="749"/>
      <c r="M1113" s="869"/>
      <c r="N1113" s="749"/>
      <c r="O1113" s="749"/>
    </row>
    <row r="1114" spans="3:15">
      <c r="C1114" s="739">
        <f>IF(D1076="","-",+C1113+1)</f>
        <v>2056</v>
      </c>
      <c r="D1114" s="691">
        <f t="shared" si="66"/>
        <v>423816.05500000063</v>
      </c>
      <c r="E1114" s="746">
        <f t="shared" si="68"/>
        <v>66918.324473684217</v>
      </c>
      <c r="F1114" s="691">
        <f t="shared" si="69"/>
        <v>356897.73052631645</v>
      </c>
      <c r="G1114" s="1230">
        <f t="shared" si="70"/>
        <v>113015.3266999848</v>
      </c>
      <c r="H1114" s="1233">
        <f t="shared" si="71"/>
        <v>113015.3266999848</v>
      </c>
      <c r="I1114" s="743">
        <f t="shared" si="67"/>
        <v>0</v>
      </c>
      <c r="J1114" s="743"/>
      <c r="K1114" s="869"/>
      <c r="L1114" s="749"/>
      <c r="M1114" s="869"/>
      <c r="N1114" s="749"/>
      <c r="O1114" s="749"/>
    </row>
    <row r="1115" spans="3:15">
      <c r="C1115" s="739">
        <f>IF(D1076="","-",+C1114+1)</f>
        <v>2057</v>
      </c>
      <c r="D1115" s="691">
        <f t="shared" si="66"/>
        <v>356897.73052631645</v>
      </c>
      <c r="E1115" s="746">
        <f t="shared" si="68"/>
        <v>66918.324473684217</v>
      </c>
      <c r="F1115" s="691">
        <f t="shared" si="69"/>
        <v>289979.40605263226</v>
      </c>
      <c r="G1115" s="1230">
        <f t="shared" si="70"/>
        <v>105112.98346119042</v>
      </c>
      <c r="H1115" s="1233">
        <f t="shared" si="71"/>
        <v>105112.98346119042</v>
      </c>
      <c r="I1115" s="743">
        <f t="shared" si="67"/>
        <v>0</v>
      </c>
      <c r="J1115" s="743"/>
      <c r="K1115" s="869"/>
      <c r="L1115" s="749"/>
      <c r="M1115" s="869"/>
      <c r="N1115" s="749"/>
      <c r="O1115" s="749"/>
    </row>
    <row r="1116" spans="3:15">
      <c r="C1116" s="739">
        <f>IF(D1076="","-",+C1115+1)</f>
        <v>2058</v>
      </c>
      <c r="D1116" s="691">
        <f t="shared" si="66"/>
        <v>289979.40605263226</v>
      </c>
      <c r="E1116" s="746">
        <f t="shared" si="68"/>
        <v>66918.324473684217</v>
      </c>
      <c r="F1116" s="691">
        <f t="shared" si="69"/>
        <v>223061.08157894804</v>
      </c>
      <c r="G1116" s="1230">
        <f t="shared" si="70"/>
        <v>97210.640222396061</v>
      </c>
      <c r="H1116" s="1233">
        <f t="shared" si="71"/>
        <v>97210.640222396061</v>
      </c>
      <c r="I1116" s="743">
        <f t="shared" si="67"/>
        <v>0</v>
      </c>
      <c r="J1116" s="743"/>
      <c r="K1116" s="869"/>
      <c r="L1116" s="749"/>
      <c r="M1116" s="869"/>
      <c r="N1116" s="749"/>
      <c r="O1116" s="749"/>
    </row>
    <row r="1117" spans="3:15">
      <c r="C1117" s="739">
        <f>IF(D1076="","-",+C1116+1)</f>
        <v>2059</v>
      </c>
      <c r="D1117" s="691">
        <f t="shared" si="66"/>
        <v>223061.08157894804</v>
      </c>
      <c r="E1117" s="746">
        <f t="shared" si="68"/>
        <v>66918.324473684217</v>
      </c>
      <c r="F1117" s="691">
        <f t="shared" si="69"/>
        <v>156142.75710526382</v>
      </c>
      <c r="G1117" s="1230">
        <f t="shared" si="70"/>
        <v>89308.296983601685</v>
      </c>
      <c r="H1117" s="1233">
        <f t="shared" si="71"/>
        <v>89308.296983601685</v>
      </c>
      <c r="I1117" s="743">
        <f t="shared" si="67"/>
        <v>0</v>
      </c>
      <c r="J1117" s="743"/>
      <c r="K1117" s="869"/>
      <c r="L1117" s="749"/>
      <c r="M1117" s="869"/>
      <c r="N1117" s="749"/>
      <c r="O1117" s="749"/>
    </row>
    <row r="1118" spans="3:15">
      <c r="C1118" s="739">
        <f>IF(D1076="","-",+C1117+1)</f>
        <v>2060</v>
      </c>
      <c r="D1118" s="691">
        <f t="shared" si="66"/>
        <v>156142.75710526382</v>
      </c>
      <c r="E1118" s="746">
        <f t="shared" si="68"/>
        <v>66918.324473684217</v>
      </c>
      <c r="F1118" s="691">
        <f t="shared" si="69"/>
        <v>89224.432631579606</v>
      </c>
      <c r="G1118" s="1230">
        <f t="shared" si="70"/>
        <v>81405.95374480731</v>
      </c>
      <c r="H1118" s="1233">
        <f t="shared" si="71"/>
        <v>81405.95374480731</v>
      </c>
      <c r="I1118" s="743">
        <f t="shared" si="67"/>
        <v>0</v>
      </c>
      <c r="J1118" s="743"/>
      <c r="K1118" s="869"/>
      <c r="L1118" s="749"/>
      <c r="M1118" s="869"/>
      <c r="N1118" s="749"/>
      <c r="O1118" s="749"/>
    </row>
    <row r="1119" spans="3:15">
      <c r="C1119" s="739">
        <f>IF(D1076="","-",+C1118+1)</f>
        <v>2061</v>
      </c>
      <c r="D1119" s="691">
        <f t="shared" si="66"/>
        <v>89224.432631579606</v>
      </c>
      <c r="E1119" s="746">
        <f t="shared" si="68"/>
        <v>66918.324473684217</v>
      </c>
      <c r="F1119" s="691">
        <f t="shared" si="69"/>
        <v>22306.108157895389</v>
      </c>
      <c r="G1119" s="1230">
        <f t="shared" si="70"/>
        <v>73503.610506012934</v>
      </c>
      <c r="H1119" s="1233">
        <f t="shared" si="71"/>
        <v>73503.610506012934</v>
      </c>
      <c r="I1119" s="743">
        <f t="shared" si="67"/>
        <v>0</v>
      </c>
      <c r="J1119" s="743"/>
      <c r="K1119" s="869"/>
      <c r="L1119" s="749"/>
      <c r="M1119" s="869"/>
      <c r="N1119" s="749"/>
      <c r="O1119" s="749"/>
    </row>
    <row r="1120" spans="3:15">
      <c r="C1120" s="739">
        <f>IF(D1076="","-",+C1119+1)</f>
        <v>2062</v>
      </c>
      <c r="D1120" s="691">
        <f t="shared" si="66"/>
        <v>22306.108157895389</v>
      </c>
      <c r="E1120" s="746">
        <f t="shared" si="68"/>
        <v>22306.108157895389</v>
      </c>
      <c r="F1120" s="691">
        <f t="shared" si="69"/>
        <v>0</v>
      </c>
      <c r="G1120" s="1230">
        <f t="shared" si="70"/>
        <v>23623.165364361157</v>
      </c>
      <c r="H1120" s="1233">
        <f t="shared" si="71"/>
        <v>23623.165364361157</v>
      </c>
      <c r="I1120" s="743">
        <f t="shared" si="67"/>
        <v>0</v>
      </c>
      <c r="J1120" s="743"/>
      <c r="K1120" s="869"/>
      <c r="L1120" s="749"/>
      <c r="M1120" s="869"/>
      <c r="N1120" s="749"/>
      <c r="O1120" s="749"/>
    </row>
    <row r="1121" spans="3:15">
      <c r="C1121" s="739">
        <f>IF(D1076="","-",+C1120+1)</f>
        <v>2063</v>
      </c>
      <c r="D1121" s="691">
        <f t="shared" si="66"/>
        <v>0</v>
      </c>
      <c r="E1121" s="746">
        <f t="shared" si="68"/>
        <v>0</v>
      </c>
      <c r="F1121" s="691">
        <f t="shared" si="69"/>
        <v>0</v>
      </c>
      <c r="G1121" s="1230">
        <f t="shared" si="70"/>
        <v>0</v>
      </c>
      <c r="H1121" s="1233">
        <f t="shared" si="71"/>
        <v>0</v>
      </c>
      <c r="I1121" s="743">
        <f t="shared" si="67"/>
        <v>0</v>
      </c>
      <c r="J1121" s="743"/>
      <c r="K1121" s="869"/>
      <c r="L1121" s="749"/>
      <c r="M1121" s="869"/>
      <c r="N1121" s="749"/>
      <c r="O1121" s="749"/>
    </row>
    <row r="1122" spans="3:15">
      <c r="C1122" s="739">
        <f>IF(D1076="","-",+C1121+1)</f>
        <v>2064</v>
      </c>
      <c r="D1122" s="691">
        <f t="shared" si="66"/>
        <v>0</v>
      </c>
      <c r="E1122" s="746">
        <f t="shared" si="68"/>
        <v>0</v>
      </c>
      <c r="F1122" s="691">
        <f t="shared" si="69"/>
        <v>0</v>
      </c>
      <c r="G1122" s="1230">
        <f t="shared" si="70"/>
        <v>0</v>
      </c>
      <c r="H1122" s="1233">
        <f t="shared" si="71"/>
        <v>0</v>
      </c>
      <c r="I1122" s="743">
        <f t="shared" si="67"/>
        <v>0</v>
      </c>
      <c r="J1122" s="743"/>
      <c r="K1122" s="869"/>
      <c r="L1122" s="749"/>
      <c r="M1122" s="869"/>
      <c r="N1122" s="749"/>
      <c r="O1122" s="749"/>
    </row>
    <row r="1123" spans="3:15">
      <c r="C1123" s="739">
        <f>IF(D1076="","-",+C1122+1)</f>
        <v>2065</v>
      </c>
      <c r="D1123" s="691">
        <f t="shared" si="66"/>
        <v>0</v>
      </c>
      <c r="E1123" s="746">
        <f t="shared" si="68"/>
        <v>0</v>
      </c>
      <c r="F1123" s="691">
        <f t="shared" si="69"/>
        <v>0</v>
      </c>
      <c r="G1123" s="1230">
        <f t="shared" si="70"/>
        <v>0</v>
      </c>
      <c r="H1123" s="1233">
        <f t="shared" si="71"/>
        <v>0</v>
      </c>
      <c r="I1123" s="743">
        <f t="shared" si="67"/>
        <v>0</v>
      </c>
      <c r="J1123" s="743"/>
      <c r="K1123" s="869"/>
      <c r="L1123" s="749"/>
      <c r="M1123" s="869"/>
      <c r="N1123" s="749"/>
      <c r="O1123" s="749"/>
    </row>
    <row r="1124" spans="3:15">
      <c r="C1124" s="739">
        <f>IF(D1076="","-",+C1123+1)</f>
        <v>2066</v>
      </c>
      <c r="D1124" s="691">
        <f t="shared" si="66"/>
        <v>0</v>
      </c>
      <c r="E1124" s="746">
        <f t="shared" si="68"/>
        <v>0</v>
      </c>
      <c r="F1124" s="691">
        <f t="shared" si="69"/>
        <v>0</v>
      </c>
      <c r="G1124" s="1230">
        <f t="shared" si="70"/>
        <v>0</v>
      </c>
      <c r="H1124" s="1233">
        <f t="shared" si="71"/>
        <v>0</v>
      </c>
      <c r="I1124" s="743">
        <f t="shared" si="67"/>
        <v>0</v>
      </c>
      <c r="J1124" s="743"/>
      <c r="K1124" s="869"/>
      <c r="L1124" s="749"/>
      <c r="M1124" s="869"/>
      <c r="N1124" s="749"/>
      <c r="O1124" s="749"/>
    </row>
    <row r="1125" spans="3:15">
      <c r="C1125" s="739">
        <f>IF(D1076="","-",+C1124+1)</f>
        <v>2067</v>
      </c>
      <c r="D1125" s="691">
        <f t="shared" si="66"/>
        <v>0</v>
      </c>
      <c r="E1125" s="746">
        <f t="shared" si="68"/>
        <v>0</v>
      </c>
      <c r="F1125" s="691">
        <f t="shared" si="69"/>
        <v>0</v>
      </c>
      <c r="G1125" s="1230">
        <f t="shared" si="70"/>
        <v>0</v>
      </c>
      <c r="H1125" s="1233">
        <f t="shared" si="71"/>
        <v>0</v>
      </c>
      <c r="I1125" s="743">
        <f t="shared" si="67"/>
        <v>0</v>
      </c>
      <c r="J1125" s="743"/>
      <c r="K1125" s="869"/>
      <c r="L1125" s="749"/>
      <c r="M1125" s="869"/>
      <c r="N1125" s="749"/>
      <c r="O1125" s="749"/>
    </row>
    <row r="1126" spans="3:15">
      <c r="C1126" s="739">
        <f>IF(D1076="","-",+C1125+1)</f>
        <v>2068</v>
      </c>
      <c r="D1126" s="691">
        <f t="shared" si="66"/>
        <v>0</v>
      </c>
      <c r="E1126" s="746">
        <f t="shared" si="68"/>
        <v>0</v>
      </c>
      <c r="F1126" s="691">
        <f t="shared" si="69"/>
        <v>0</v>
      </c>
      <c r="G1126" s="1230">
        <f t="shared" si="70"/>
        <v>0</v>
      </c>
      <c r="H1126" s="1233">
        <f t="shared" si="71"/>
        <v>0</v>
      </c>
      <c r="I1126" s="743">
        <f t="shared" si="67"/>
        <v>0</v>
      </c>
      <c r="J1126" s="743"/>
      <c r="K1126" s="869"/>
      <c r="L1126" s="749"/>
      <c r="M1126" s="869"/>
      <c r="N1126" s="749"/>
      <c r="O1126" s="749"/>
    </row>
    <row r="1127" spans="3:15">
      <c r="C1127" s="739">
        <f>IF(D1076="","-",+C1126+1)</f>
        <v>2069</v>
      </c>
      <c r="D1127" s="691">
        <f t="shared" si="66"/>
        <v>0</v>
      </c>
      <c r="E1127" s="746">
        <f t="shared" si="68"/>
        <v>0</v>
      </c>
      <c r="F1127" s="691">
        <f t="shared" si="69"/>
        <v>0</v>
      </c>
      <c r="G1127" s="1230">
        <f t="shared" si="70"/>
        <v>0</v>
      </c>
      <c r="H1127" s="1233">
        <f t="shared" si="71"/>
        <v>0</v>
      </c>
      <c r="I1127" s="743">
        <f t="shared" si="67"/>
        <v>0</v>
      </c>
      <c r="J1127" s="743"/>
      <c r="K1127" s="869"/>
      <c r="L1127" s="749"/>
      <c r="M1127" s="869"/>
      <c r="N1127" s="749"/>
      <c r="O1127" s="749"/>
    </row>
    <row r="1128" spans="3:15">
      <c r="C1128" s="739">
        <f>IF(D1076="","-",+C1127+1)</f>
        <v>2070</v>
      </c>
      <c r="D1128" s="691">
        <f t="shared" si="66"/>
        <v>0</v>
      </c>
      <c r="E1128" s="746">
        <f t="shared" si="68"/>
        <v>0</v>
      </c>
      <c r="F1128" s="691">
        <f t="shared" si="69"/>
        <v>0</v>
      </c>
      <c r="G1128" s="1230">
        <f t="shared" si="70"/>
        <v>0</v>
      </c>
      <c r="H1128" s="1233">
        <f t="shared" si="71"/>
        <v>0</v>
      </c>
      <c r="I1128" s="743">
        <f t="shared" si="67"/>
        <v>0</v>
      </c>
      <c r="J1128" s="743"/>
      <c r="K1128" s="869"/>
      <c r="L1128" s="749"/>
      <c r="M1128" s="869"/>
      <c r="N1128" s="749"/>
      <c r="O1128" s="749"/>
    </row>
    <row r="1129" spans="3:15">
      <c r="C1129" s="739">
        <f>IF(D1076="","-",+C1128+1)</f>
        <v>2071</v>
      </c>
      <c r="D1129" s="691">
        <f t="shared" si="66"/>
        <v>0</v>
      </c>
      <c r="E1129" s="746">
        <f t="shared" si="68"/>
        <v>0</v>
      </c>
      <c r="F1129" s="691">
        <f t="shared" si="69"/>
        <v>0</v>
      </c>
      <c r="G1129" s="1230">
        <f t="shared" si="70"/>
        <v>0</v>
      </c>
      <c r="H1129" s="1233">
        <f t="shared" si="71"/>
        <v>0</v>
      </c>
      <c r="I1129" s="743">
        <f t="shared" si="67"/>
        <v>0</v>
      </c>
      <c r="J1129" s="743"/>
      <c r="K1129" s="869"/>
      <c r="L1129" s="749"/>
      <c r="M1129" s="869"/>
      <c r="N1129" s="749"/>
      <c r="O1129" s="749"/>
    </row>
    <row r="1130" spans="3:15">
      <c r="C1130" s="739">
        <f>IF(D1076="","-",+C1129+1)</f>
        <v>2072</v>
      </c>
      <c r="D1130" s="691">
        <f t="shared" si="66"/>
        <v>0</v>
      </c>
      <c r="E1130" s="746">
        <f t="shared" si="68"/>
        <v>0</v>
      </c>
      <c r="F1130" s="691">
        <f t="shared" si="69"/>
        <v>0</v>
      </c>
      <c r="G1130" s="1230">
        <f t="shared" si="70"/>
        <v>0</v>
      </c>
      <c r="H1130" s="1233">
        <f t="shared" si="71"/>
        <v>0</v>
      </c>
      <c r="I1130" s="743">
        <f t="shared" si="67"/>
        <v>0</v>
      </c>
      <c r="J1130" s="743"/>
      <c r="K1130" s="869"/>
      <c r="L1130" s="749"/>
      <c r="M1130" s="869"/>
      <c r="N1130" s="749"/>
      <c r="O1130" s="749"/>
    </row>
    <row r="1131" spans="3:15">
      <c r="C1131" s="739">
        <f>IF(D1076="","-",+C1130+1)</f>
        <v>2073</v>
      </c>
      <c r="D1131" s="691">
        <f t="shared" si="66"/>
        <v>0</v>
      </c>
      <c r="E1131" s="746">
        <f t="shared" si="68"/>
        <v>0</v>
      </c>
      <c r="F1131" s="691">
        <f t="shared" si="69"/>
        <v>0</v>
      </c>
      <c r="G1131" s="1230">
        <f t="shared" si="70"/>
        <v>0</v>
      </c>
      <c r="H1131" s="1233">
        <f t="shared" si="71"/>
        <v>0</v>
      </c>
      <c r="I1131" s="743">
        <f t="shared" si="67"/>
        <v>0</v>
      </c>
      <c r="J1131" s="743"/>
      <c r="K1131" s="869"/>
      <c r="L1131" s="749"/>
      <c r="M1131" s="869"/>
      <c r="N1131" s="749"/>
      <c r="O1131" s="749"/>
    </row>
    <row r="1132" spans="3:15">
      <c r="C1132" s="739">
        <f>IF(D1076="","-",+C1131+1)</f>
        <v>2074</v>
      </c>
      <c r="D1132" s="691">
        <f t="shared" si="66"/>
        <v>0</v>
      </c>
      <c r="E1132" s="746">
        <f t="shared" si="68"/>
        <v>0</v>
      </c>
      <c r="F1132" s="691">
        <f t="shared" si="69"/>
        <v>0</v>
      </c>
      <c r="G1132" s="1230">
        <f t="shared" si="70"/>
        <v>0</v>
      </c>
      <c r="H1132" s="1233">
        <f t="shared" si="71"/>
        <v>0</v>
      </c>
      <c r="I1132" s="743">
        <f t="shared" si="67"/>
        <v>0</v>
      </c>
      <c r="J1132" s="743"/>
      <c r="K1132" s="869"/>
      <c r="L1132" s="749"/>
      <c r="M1132" s="869"/>
      <c r="N1132" s="749"/>
      <c r="O1132" s="749"/>
    </row>
    <row r="1133" spans="3:15">
      <c r="C1133" s="739">
        <f>IF(D1076="","-",+C1132+1)</f>
        <v>2075</v>
      </c>
      <c r="D1133" s="691">
        <f t="shared" si="66"/>
        <v>0</v>
      </c>
      <c r="E1133" s="746">
        <f t="shared" si="68"/>
        <v>0</v>
      </c>
      <c r="F1133" s="691">
        <f t="shared" si="69"/>
        <v>0</v>
      </c>
      <c r="G1133" s="1230">
        <f t="shared" si="70"/>
        <v>0</v>
      </c>
      <c r="H1133" s="1233">
        <f t="shared" si="71"/>
        <v>0</v>
      </c>
      <c r="I1133" s="743">
        <f t="shared" si="67"/>
        <v>0</v>
      </c>
      <c r="J1133" s="743"/>
      <c r="K1133" s="869"/>
      <c r="L1133" s="749"/>
      <c r="M1133" s="869"/>
      <c r="N1133" s="749"/>
      <c r="O1133" s="749"/>
    </row>
    <row r="1134" spans="3:15">
      <c r="C1134" s="739">
        <f>IF(D1076="","-",+C1133+1)</f>
        <v>2076</v>
      </c>
      <c r="D1134" s="691">
        <f t="shared" si="66"/>
        <v>0</v>
      </c>
      <c r="E1134" s="746">
        <f t="shared" si="68"/>
        <v>0</v>
      </c>
      <c r="F1134" s="691">
        <f t="shared" si="69"/>
        <v>0</v>
      </c>
      <c r="G1134" s="1230">
        <f t="shared" si="70"/>
        <v>0</v>
      </c>
      <c r="H1134" s="1233">
        <f t="shared" si="71"/>
        <v>0</v>
      </c>
      <c r="I1134" s="743">
        <f t="shared" si="67"/>
        <v>0</v>
      </c>
      <c r="J1134" s="743"/>
      <c r="K1134" s="869"/>
      <c r="L1134" s="749"/>
      <c r="M1134" s="869"/>
      <c r="N1134" s="749"/>
      <c r="O1134" s="749"/>
    </row>
    <row r="1135" spans="3:15">
      <c r="C1135" s="739">
        <f>IF(D1076="","-",+C1134+1)</f>
        <v>2077</v>
      </c>
      <c r="D1135" s="691">
        <f t="shared" si="66"/>
        <v>0</v>
      </c>
      <c r="E1135" s="746">
        <f t="shared" si="68"/>
        <v>0</v>
      </c>
      <c r="F1135" s="691">
        <f t="shared" si="69"/>
        <v>0</v>
      </c>
      <c r="G1135" s="1230">
        <f t="shared" si="70"/>
        <v>0</v>
      </c>
      <c r="H1135" s="1233">
        <f t="shared" si="71"/>
        <v>0</v>
      </c>
      <c r="I1135" s="743">
        <f t="shared" si="67"/>
        <v>0</v>
      </c>
      <c r="J1135" s="743"/>
      <c r="K1135" s="869"/>
      <c r="L1135" s="749"/>
      <c r="M1135" s="869"/>
      <c r="N1135" s="749"/>
      <c r="O1135" s="749"/>
    </row>
    <row r="1136" spans="3:15">
      <c r="C1136" s="739">
        <f>IF(D1076="","-",+C1135+1)</f>
        <v>2078</v>
      </c>
      <c r="D1136" s="691">
        <f t="shared" si="66"/>
        <v>0</v>
      </c>
      <c r="E1136" s="746">
        <f t="shared" si="68"/>
        <v>0</v>
      </c>
      <c r="F1136" s="691">
        <f t="shared" si="69"/>
        <v>0</v>
      </c>
      <c r="G1136" s="1230">
        <f t="shared" si="70"/>
        <v>0</v>
      </c>
      <c r="H1136" s="1233">
        <f t="shared" si="71"/>
        <v>0</v>
      </c>
      <c r="I1136" s="743">
        <f t="shared" si="67"/>
        <v>0</v>
      </c>
      <c r="J1136" s="743"/>
      <c r="K1136" s="869"/>
      <c r="L1136" s="749"/>
      <c r="M1136" s="869"/>
      <c r="N1136" s="749"/>
      <c r="O1136" s="749"/>
    </row>
    <row r="1137" spans="2:15">
      <c r="C1137" s="739">
        <f>IF(D1076="","-",+C1136+1)</f>
        <v>2079</v>
      </c>
      <c r="D1137" s="691">
        <f t="shared" si="66"/>
        <v>0</v>
      </c>
      <c r="E1137" s="746">
        <f t="shared" si="68"/>
        <v>0</v>
      </c>
      <c r="F1137" s="691">
        <f t="shared" si="69"/>
        <v>0</v>
      </c>
      <c r="G1137" s="1230">
        <f t="shared" si="70"/>
        <v>0</v>
      </c>
      <c r="H1137" s="1233">
        <f t="shared" si="71"/>
        <v>0</v>
      </c>
      <c r="I1137" s="743">
        <f t="shared" si="67"/>
        <v>0</v>
      </c>
      <c r="J1137" s="743"/>
      <c r="K1137" s="869"/>
      <c r="L1137" s="749"/>
      <c r="M1137" s="869"/>
      <c r="N1137" s="749"/>
      <c r="O1137" s="749"/>
    </row>
    <row r="1138" spans="2:15">
      <c r="C1138" s="739">
        <f>IF(D1076="","-",+C1137+1)</f>
        <v>2080</v>
      </c>
      <c r="D1138" s="691">
        <f t="shared" si="66"/>
        <v>0</v>
      </c>
      <c r="E1138" s="746">
        <f t="shared" si="68"/>
        <v>0</v>
      </c>
      <c r="F1138" s="691">
        <f t="shared" si="69"/>
        <v>0</v>
      </c>
      <c r="G1138" s="1230">
        <f t="shared" si="70"/>
        <v>0</v>
      </c>
      <c r="H1138" s="1233">
        <f t="shared" si="71"/>
        <v>0</v>
      </c>
      <c r="I1138" s="743">
        <f t="shared" si="67"/>
        <v>0</v>
      </c>
      <c r="J1138" s="743"/>
      <c r="K1138" s="869"/>
      <c r="L1138" s="749"/>
      <c r="M1138" s="869"/>
      <c r="N1138" s="749"/>
      <c r="O1138" s="749"/>
    </row>
    <row r="1139" spans="2:15">
      <c r="C1139" s="739">
        <f>IF(D1076="","-",+C1138+1)</f>
        <v>2081</v>
      </c>
      <c r="D1139" s="691">
        <f t="shared" si="66"/>
        <v>0</v>
      </c>
      <c r="E1139" s="746">
        <f t="shared" si="68"/>
        <v>0</v>
      </c>
      <c r="F1139" s="691">
        <f t="shared" si="69"/>
        <v>0</v>
      </c>
      <c r="G1139" s="1230">
        <f t="shared" si="70"/>
        <v>0</v>
      </c>
      <c r="H1139" s="1233">
        <f t="shared" si="71"/>
        <v>0</v>
      </c>
      <c r="I1139" s="743">
        <f t="shared" si="67"/>
        <v>0</v>
      </c>
      <c r="J1139" s="743"/>
      <c r="K1139" s="869"/>
      <c r="L1139" s="749"/>
      <c r="M1139" s="869"/>
      <c r="N1139" s="749"/>
      <c r="O1139" s="749"/>
    </row>
    <row r="1140" spans="2:15">
      <c r="C1140" s="739">
        <f>IF(D1076="","-",+C1139+1)</f>
        <v>2082</v>
      </c>
      <c r="D1140" s="691">
        <f t="shared" si="66"/>
        <v>0</v>
      </c>
      <c r="E1140" s="746">
        <f t="shared" si="68"/>
        <v>0</v>
      </c>
      <c r="F1140" s="691">
        <f t="shared" si="69"/>
        <v>0</v>
      </c>
      <c r="G1140" s="1230">
        <f t="shared" si="70"/>
        <v>0</v>
      </c>
      <c r="H1140" s="1233">
        <f t="shared" si="71"/>
        <v>0</v>
      </c>
      <c r="I1140" s="743">
        <f t="shared" si="67"/>
        <v>0</v>
      </c>
      <c r="J1140" s="743"/>
      <c r="K1140" s="869"/>
      <c r="L1140" s="749"/>
      <c r="M1140" s="869"/>
      <c r="N1140" s="749"/>
      <c r="O1140" s="749"/>
    </row>
    <row r="1141" spans="2:15" ht="13.5" thickBot="1">
      <c r="C1141" s="750">
        <f>IF(D1076="","-",+C1140+1)</f>
        <v>2083</v>
      </c>
      <c r="D1141" s="751">
        <f t="shared" si="66"/>
        <v>0</v>
      </c>
      <c r="E1141" s="752">
        <f t="shared" si="68"/>
        <v>0</v>
      </c>
      <c r="F1141" s="1220">
        <f t="shared" si="69"/>
        <v>0</v>
      </c>
      <c r="G1141" s="1241">
        <f t="shared" si="70"/>
        <v>0</v>
      </c>
      <c r="H1141" s="1220">
        <f t="shared" si="71"/>
        <v>0</v>
      </c>
      <c r="I1141" s="754">
        <f t="shared" si="67"/>
        <v>0</v>
      </c>
      <c r="J1141" s="743"/>
      <c r="K1141" s="870"/>
      <c r="L1141" s="756"/>
      <c r="M1141" s="870"/>
      <c r="N1141" s="756"/>
      <c r="O1141" s="756"/>
    </row>
    <row r="1142" spans="2:15">
      <c r="C1142" s="691" t="s">
        <v>289</v>
      </c>
      <c r="D1142" s="1211"/>
      <c r="E1142" s="1211">
        <f>SUM(E1082:E1141)</f>
        <v>2542896.33</v>
      </c>
      <c r="F1142" s="1211"/>
      <c r="G1142" s="1211">
        <f>SUM(G1082:G1141)</f>
        <v>8348484.4961009342</v>
      </c>
      <c r="H1142" s="1211">
        <f>SUM(H1082:H1141)</f>
        <v>8348484.4961009342</v>
      </c>
      <c r="I1142" s="1211">
        <f>SUM(I1082:I1141)</f>
        <v>0</v>
      </c>
      <c r="J1142" s="1211"/>
      <c r="K1142" s="1211"/>
      <c r="L1142" s="1211"/>
      <c r="M1142" s="1211"/>
      <c r="N1142" s="1211"/>
      <c r="O1142" s="558"/>
    </row>
    <row r="1143" spans="2:15">
      <c r="D1143" s="581"/>
      <c r="E1143" s="558"/>
      <c r="F1143" s="558"/>
      <c r="G1143" s="558"/>
      <c r="H1143" s="1210"/>
      <c r="I1143" s="1210"/>
      <c r="J1143" s="1211"/>
      <c r="K1143" s="1210"/>
      <c r="L1143" s="1210"/>
      <c r="M1143" s="1210"/>
      <c r="N1143" s="1210"/>
      <c r="O1143" s="558"/>
    </row>
    <row r="1144" spans="2:15">
      <c r="C1144" s="1242" t="s">
        <v>926</v>
      </c>
      <c r="D1144" s="581"/>
      <c r="E1144" s="558"/>
      <c r="F1144" s="558"/>
      <c r="G1144" s="558"/>
      <c r="H1144" s="1210"/>
      <c r="I1144" s="1210"/>
      <c r="J1144" s="1211"/>
      <c r="K1144" s="1210"/>
      <c r="L1144" s="1210"/>
      <c r="M1144" s="1210"/>
      <c r="N1144" s="1210"/>
      <c r="O1144" s="558"/>
    </row>
    <row r="1145" spans="2:15">
      <c r="D1145" s="581"/>
      <c r="E1145" s="558"/>
      <c r="F1145" s="558"/>
      <c r="G1145" s="558"/>
      <c r="H1145" s="1210"/>
      <c r="I1145" s="1210"/>
      <c r="J1145" s="1211"/>
      <c r="K1145" s="1210"/>
      <c r="L1145" s="1210"/>
      <c r="M1145" s="1210"/>
      <c r="N1145" s="1210"/>
      <c r="O1145" s="558"/>
    </row>
    <row r="1146" spans="2:15">
      <c r="C1146" s="704" t="s">
        <v>927</v>
      </c>
      <c r="D1146" s="691"/>
      <c r="E1146" s="691"/>
      <c r="F1146" s="691"/>
      <c r="G1146" s="1211"/>
      <c r="H1146" s="1211"/>
      <c r="I1146" s="692"/>
      <c r="J1146" s="692"/>
      <c r="K1146" s="692"/>
      <c r="L1146" s="692"/>
      <c r="M1146" s="692"/>
      <c r="N1146" s="692"/>
      <c r="O1146" s="558"/>
    </row>
    <row r="1147" spans="2:15">
      <c r="C1147" s="690" t="s">
        <v>477</v>
      </c>
      <c r="D1147" s="691"/>
      <c r="E1147" s="691"/>
      <c r="F1147" s="691"/>
      <c r="G1147" s="1211"/>
      <c r="H1147" s="1211"/>
      <c r="I1147" s="692"/>
      <c r="J1147" s="692"/>
      <c r="K1147" s="692"/>
      <c r="L1147" s="692"/>
      <c r="M1147" s="692"/>
      <c r="N1147" s="692"/>
      <c r="O1147" s="558"/>
    </row>
    <row r="1148" spans="2:15">
      <c r="C1148" s="690" t="s">
        <v>290</v>
      </c>
      <c r="D1148" s="691"/>
      <c r="E1148" s="691"/>
      <c r="F1148" s="691"/>
      <c r="G1148" s="1211"/>
      <c r="H1148" s="1211"/>
      <c r="I1148" s="692"/>
      <c r="J1148" s="692"/>
      <c r="K1148" s="692"/>
      <c r="L1148" s="692"/>
      <c r="M1148" s="692"/>
      <c r="N1148" s="692"/>
      <c r="O1148" s="558"/>
    </row>
    <row r="1149" spans="2:15">
      <c r="C1149" s="690"/>
      <c r="D1149" s="691"/>
      <c r="E1149" s="691"/>
      <c r="F1149" s="691"/>
      <c r="G1149" s="1211"/>
      <c r="H1149" s="1211"/>
      <c r="I1149" s="692"/>
      <c r="J1149" s="692"/>
      <c r="K1149" s="692"/>
      <c r="L1149" s="692"/>
      <c r="M1149" s="692"/>
      <c r="N1149" s="692"/>
      <c r="O1149" s="558"/>
    </row>
    <row r="1150" spans="2:15">
      <c r="C1150" s="1601" t="s">
        <v>461</v>
      </c>
      <c r="D1150" s="1601"/>
      <c r="E1150" s="1601"/>
      <c r="F1150" s="1601"/>
      <c r="G1150" s="1601"/>
      <c r="H1150" s="1601"/>
      <c r="I1150" s="1601"/>
      <c r="J1150" s="1601"/>
      <c r="K1150" s="1601"/>
      <c r="L1150" s="1601"/>
      <c r="M1150" s="1601"/>
      <c r="N1150" s="1601"/>
      <c r="O1150" s="1601"/>
    </row>
    <row r="1151" spans="2:15">
      <c r="C1151" s="1601"/>
      <c r="D1151" s="1601"/>
      <c r="E1151" s="1601"/>
      <c r="F1151" s="1601"/>
      <c r="G1151" s="1601"/>
      <c r="H1151" s="1601"/>
      <c r="I1151" s="1601"/>
      <c r="J1151" s="1601"/>
      <c r="K1151" s="1601"/>
      <c r="L1151" s="1601"/>
      <c r="M1151" s="1601"/>
      <c r="N1151" s="1601"/>
      <c r="O1151" s="1601"/>
    </row>
    <row r="1152" spans="2:15" ht="18.75">
      <c r="B1152" s="613"/>
      <c r="C1152" s="612"/>
      <c r="D1152" s="581"/>
      <c r="E1152" s="558"/>
      <c r="F1152" s="558"/>
      <c r="G1152" s="558"/>
      <c r="H1152" s="1210"/>
      <c r="I1152" s="1210"/>
      <c r="J1152" s="1211"/>
      <c r="K1152" s="1210"/>
      <c r="L1152" s="1210"/>
      <c r="M1152" s="1210"/>
      <c r="N1152" s="1210"/>
      <c r="O1152" s="558"/>
    </row>
    <row r="1153" spans="1:15" ht="20.25">
      <c r="A1153" s="693" t="s">
        <v>923</v>
      </c>
      <c r="B1153" s="594"/>
      <c r="C1153" s="673"/>
      <c r="D1153" s="581"/>
      <c r="E1153" s="558"/>
      <c r="F1153" s="663"/>
      <c r="G1153" s="558"/>
      <c r="H1153" s="1210"/>
      <c r="K1153" s="694"/>
      <c r="L1153" s="694"/>
      <c r="M1153" s="694"/>
      <c r="N1153" s="609" t="str">
        <f>"Page "&amp;P1153&amp;" of "</f>
        <v xml:space="preserve">Page  of </v>
      </c>
      <c r="O1153" s="610">
        <f>COUNT(P$6:P$59527)</f>
        <v>10</v>
      </c>
    </row>
    <row r="1154" spans="1:15">
      <c r="B1154" s="594"/>
      <c r="C1154" s="558"/>
      <c r="D1154" s="581"/>
      <c r="E1154" s="558"/>
      <c r="F1154" s="558"/>
      <c r="G1154" s="558"/>
      <c r="H1154" s="1210"/>
      <c r="I1154" s="558"/>
      <c r="J1154" s="606"/>
      <c r="K1154" s="558"/>
      <c r="L1154" s="558"/>
      <c r="M1154" s="558"/>
      <c r="N1154" s="558"/>
      <c r="O1154" s="558"/>
    </row>
    <row r="1155" spans="1:15" ht="18">
      <c r="B1155" s="613" t="s">
        <v>175</v>
      </c>
      <c r="C1155" s="695" t="s">
        <v>291</v>
      </c>
      <c r="D1155" s="581"/>
      <c r="E1155" s="558"/>
      <c r="F1155" s="558"/>
      <c r="G1155" s="558"/>
      <c r="H1155" s="1210"/>
      <c r="I1155" s="1210"/>
      <c r="J1155" s="1211"/>
      <c r="K1155" s="1210"/>
      <c r="L1155" s="1210"/>
      <c r="M1155" s="1210"/>
      <c r="N1155" s="1210"/>
      <c r="O1155" s="558"/>
    </row>
    <row r="1156" spans="1:15" ht="18.75">
      <c r="B1156" s="613"/>
      <c r="C1156" s="612"/>
      <c r="D1156" s="581"/>
      <c r="E1156" s="558"/>
      <c r="F1156" s="558"/>
      <c r="G1156" s="558"/>
      <c r="H1156" s="1210"/>
      <c r="I1156" s="1210"/>
      <c r="J1156" s="1211"/>
      <c r="K1156" s="1210"/>
      <c r="L1156" s="1210"/>
      <c r="M1156" s="1210"/>
      <c r="N1156" s="1210"/>
      <c r="O1156" s="558"/>
    </row>
    <row r="1157" spans="1:15" ht="18.75">
      <c r="B1157" s="613"/>
      <c r="C1157" s="612" t="s">
        <v>292</v>
      </c>
      <c r="D1157" s="581"/>
      <c r="E1157" s="558"/>
      <c r="F1157" s="558"/>
      <c r="G1157" s="558"/>
      <c r="H1157" s="1210"/>
      <c r="I1157" s="1210"/>
      <c r="J1157" s="1211"/>
      <c r="K1157" s="1210"/>
      <c r="L1157" s="1210"/>
      <c r="M1157" s="1210"/>
      <c r="N1157" s="1210"/>
      <c r="O1157" s="558"/>
    </row>
    <row r="1158" spans="1:15" ht="15.75" thickBot="1">
      <c r="C1158" s="411"/>
      <c r="D1158" s="581"/>
      <c r="E1158" s="558"/>
      <c r="F1158" s="558"/>
      <c r="G1158" s="558"/>
      <c r="H1158" s="1210"/>
      <c r="I1158" s="1210"/>
      <c r="J1158" s="1211"/>
      <c r="K1158" s="1210"/>
      <c r="L1158" s="1210"/>
      <c r="M1158" s="1210"/>
      <c r="N1158" s="1210"/>
      <c r="O1158" s="558"/>
    </row>
    <row r="1159" spans="1:15" ht="15.75">
      <c r="C1159" s="614" t="s">
        <v>293</v>
      </c>
      <c r="D1159" s="581"/>
      <c r="E1159" s="558"/>
      <c r="F1159" s="558"/>
      <c r="G1159" s="1212"/>
      <c r="H1159" s="558" t="s">
        <v>272</v>
      </c>
      <c r="I1159" s="558"/>
      <c r="J1159" s="606"/>
      <c r="K1159" s="696" t="s">
        <v>297</v>
      </c>
      <c r="L1159" s="697"/>
      <c r="M1159" s="698"/>
      <c r="N1159" s="1213">
        <f>VLOOKUP(I1165,C1172:O1231,5)</f>
        <v>506095.36974001635</v>
      </c>
      <c r="O1159" s="558"/>
    </row>
    <row r="1160" spans="1:15" ht="15.75">
      <c r="C1160" s="614"/>
      <c r="D1160" s="581"/>
      <c r="E1160" s="558"/>
      <c r="F1160" s="558"/>
      <c r="G1160" s="558"/>
      <c r="H1160" s="1214"/>
      <c r="I1160" s="1214"/>
      <c r="J1160" s="1215"/>
      <c r="K1160" s="701" t="s">
        <v>298</v>
      </c>
      <c r="L1160" s="1216"/>
      <c r="M1160" s="606"/>
      <c r="N1160" s="1217">
        <f>VLOOKUP(I1165,C1172:O1231,6)</f>
        <v>506095.36974001635</v>
      </c>
      <c r="O1160" s="558"/>
    </row>
    <row r="1161" spans="1:15" ht="13.5" thickBot="1">
      <c r="C1161" s="702" t="s">
        <v>294</v>
      </c>
      <c r="D1161" s="1610" t="s">
        <v>1149</v>
      </c>
      <c r="E1161" s="1611"/>
      <c r="F1161" s="1611"/>
      <c r="G1161" s="1611"/>
      <c r="H1161" s="1611"/>
      <c r="I1161" s="1611"/>
      <c r="J1161" s="1211"/>
      <c r="K1161" s="1218" t="s">
        <v>451</v>
      </c>
      <c r="L1161" s="1219"/>
      <c r="M1161" s="1219"/>
      <c r="N1161" s="1220">
        <f>+N1160-N1159</f>
        <v>0</v>
      </c>
      <c r="O1161" s="558"/>
    </row>
    <row r="1162" spans="1:15">
      <c r="C1162" s="704"/>
      <c r="D1162" s="1611"/>
      <c r="E1162" s="1611"/>
      <c r="F1162" s="1611"/>
      <c r="G1162" s="1611"/>
      <c r="H1162" s="1611"/>
      <c r="I1162" s="1611"/>
      <c r="J1162" s="1211"/>
      <c r="K1162" s="1210"/>
      <c r="L1162" s="1210"/>
      <c r="M1162" s="1210"/>
      <c r="N1162" s="1210"/>
      <c r="O1162" s="558"/>
    </row>
    <row r="1163" spans="1:15" ht="13.5" thickBot="1">
      <c r="C1163" s="707"/>
      <c r="D1163" s="708"/>
      <c r="E1163" s="706"/>
      <c r="F1163" s="706"/>
      <c r="G1163" s="706"/>
      <c r="H1163" s="706"/>
      <c r="I1163" s="706"/>
      <c r="J1163" s="1351"/>
      <c r="K1163" s="706"/>
      <c r="L1163" s="706"/>
      <c r="M1163" s="706"/>
      <c r="N1163" s="706"/>
      <c r="O1163" s="594"/>
    </row>
    <row r="1164" spans="1:15" ht="13.5" thickBot="1">
      <c r="C1164" s="710" t="s">
        <v>295</v>
      </c>
      <c r="D1164" s="711"/>
      <c r="E1164" s="711"/>
      <c r="F1164" s="711"/>
      <c r="G1164" s="711"/>
      <c r="H1164" s="711"/>
      <c r="I1164" s="712"/>
      <c r="J1164" s="713"/>
      <c r="K1164" s="558"/>
      <c r="L1164" s="558"/>
      <c r="M1164" s="558"/>
      <c r="N1164" s="558"/>
      <c r="O1164" s="714"/>
    </row>
    <row r="1165" spans="1:15" ht="15">
      <c r="C1165" s="716" t="s">
        <v>273</v>
      </c>
      <c r="D1165" s="1221">
        <v>3594947.8099999996</v>
      </c>
      <c r="E1165" s="673" t="s">
        <v>274</v>
      </c>
      <c r="G1165" s="717"/>
      <c r="H1165" s="717"/>
      <c r="I1165" s="718">
        <f>I1075</f>
        <v>2025</v>
      </c>
      <c r="J1165" s="604"/>
      <c r="K1165" s="1600" t="s">
        <v>460</v>
      </c>
      <c r="L1165" s="1600"/>
      <c r="M1165" s="1600"/>
      <c r="N1165" s="1600"/>
      <c r="O1165" s="1600"/>
    </row>
    <row r="1166" spans="1:15">
      <c r="C1166" s="716" t="s">
        <v>276</v>
      </c>
      <c r="D1166" s="864">
        <v>2024</v>
      </c>
      <c r="E1166" s="716" t="s">
        <v>277</v>
      </c>
      <c r="F1166" s="717"/>
      <c r="H1166" s="345"/>
      <c r="I1166" s="867">
        <f>IF(G1159="",0,$F$15)</f>
        <v>0</v>
      </c>
      <c r="J1166" s="719"/>
      <c r="K1166" s="1211" t="s">
        <v>460</v>
      </c>
    </row>
    <row r="1167" spans="1:15">
      <c r="C1167" s="716" t="s">
        <v>278</v>
      </c>
      <c r="D1167" s="1221">
        <v>4</v>
      </c>
      <c r="E1167" s="716" t="s">
        <v>279</v>
      </c>
      <c r="F1167" s="717"/>
      <c r="H1167" s="345"/>
      <c r="I1167" s="720">
        <f>$G$70</f>
        <v>0.11808937687765908</v>
      </c>
      <c r="J1167" s="721"/>
      <c r="K1167" s="345" t="str">
        <f>"          INPUT PROJECTED ARR (WITH &amp; WITHOUT INCENTIVES) FROM EACH PRIOR YEAR"</f>
        <v xml:space="preserve">          INPUT PROJECTED ARR (WITH &amp; WITHOUT INCENTIVES) FROM EACH PRIOR YEAR</v>
      </c>
    </row>
    <row r="1168" spans="1:15">
      <c r="C1168" s="716" t="s">
        <v>280</v>
      </c>
      <c r="D1168" s="722">
        <f>G$79</f>
        <v>38</v>
      </c>
      <c r="E1168" s="716" t="s">
        <v>281</v>
      </c>
      <c r="F1168" s="717"/>
      <c r="H1168" s="345"/>
      <c r="I1168" s="720">
        <f>IF(G1159="",I1167,$G$67)</f>
        <v>0.11808937687765908</v>
      </c>
      <c r="J1168" s="723"/>
      <c r="K1168" s="345" t="s">
        <v>358</v>
      </c>
    </row>
    <row r="1169" spans="1:15" ht="13.5" thickBot="1">
      <c r="C1169" s="716" t="s">
        <v>282</v>
      </c>
      <c r="D1169" s="866" t="s">
        <v>925</v>
      </c>
      <c r="E1169" s="724" t="s">
        <v>283</v>
      </c>
      <c r="F1169" s="725"/>
      <c r="G1169" s="726"/>
      <c r="H1169" s="726"/>
      <c r="I1169" s="1220">
        <f>IF(D1165=0,0,D1165/D1168)</f>
        <v>94603.889736842088</v>
      </c>
      <c r="J1169" s="1211"/>
      <c r="K1169" s="1211" t="s">
        <v>364</v>
      </c>
      <c r="L1169" s="1211"/>
      <c r="M1169" s="1211"/>
      <c r="N1169" s="1211"/>
      <c r="O1169" s="606"/>
    </row>
    <row r="1170" spans="1:15" ht="51">
      <c r="A1170" s="1350"/>
      <c r="B1170" s="1222"/>
      <c r="C1170" s="727" t="s">
        <v>273</v>
      </c>
      <c r="D1170" s="1223" t="s">
        <v>284</v>
      </c>
      <c r="E1170" s="1224" t="s">
        <v>285</v>
      </c>
      <c r="F1170" s="1223" t="s">
        <v>286</v>
      </c>
      <c r="G1170" s="1224" t="s">
        <v>357</v>
      </c>
      <c r="H1170" s="1225" t="s">
        <v>357</v>
      </c>
      <c r="I1170" s="727" t="s">
        <v>296</v>
      </c>
      <c r="J1170" s="731"/>
      <c r="K1170" s="1224" t="s">
        <v>366</v>
      </c>
      <c r="L1170" s="1226"/>
      <c r="M1170" s="1224" t="s">
        <v>366</v>
      </c>
      <c r="N1170" s="1226"/>
      <c r="O1170" s="1226"/>
    </row>
    <row r="1171" spans="1:15" ht="13.5" thickBot="1">
      <c r="C1171" s="733" t="s">
        <v>178</v>
      </c>
      <c r="D1171" s="734" t="s">
        <v>179</v>
      </c>
      <c r="E1171" s="733" t="s">
        <v>38</v>
      </c>
      <c r="F1171" s="734" t="s">
        <v>179</v>
      </c>
      <c r="G1171" s="1227" t="s">
        <v>299</v>
      </c>
      <c r="H1171" s="1228" t="s">
        <v>301</v>
      </c>
      <c r="I1171" s="737" t="s">
        <v>390</v>
      </c>
      <c r="J1171" s="738"/>
      <c r="K1171" s="1227" t="s">
        <v>288</v>
      </c>
      <c r="L1171" s="1229"/>
      <c r="M1171" s="1227" t="s">
        <v>301</v>
      </c>
      <c r="N1171" s="1229"/>
      <c r="O1171" s="1229"/>
    </row>
    <row r="1172" spans="1:15">
      <c r="C1172" s="739">
        <f>IF(D1166= "","-",D1166)</f>
        <v>2024</v>
      </c>
      <c r="D1172" s="691">
        <f>+D1165</f>
        <v>3594947.8099999996</v>
      </c>
      <c r="E1172" s="1230">
        <f>+I1169/12*(12-D1167)</f>
        <v>63069.259824561392</v>
      </c>
      <c r="F1172" s="691">
        <f>+D1172-E1172</f>
        <v>3531878.5501754382</v>
      </c>
      <c r="G1172" s="1231">
        <f>+$I$810*((D1172+F1172)/2)+E1172</f>
        <v>483870.50181875774</v>
      </c>
      <c r="H1172" s="1232">
        <f>+$I$811*((D1172+F1172)/2)+E1172</f>
        <v>483870.50181875774</v>
      </c>
      <c r="I1172" s="743">
        <f>+H1172-G1172</f>
        <v>0</v>
      </c>
      <c r="J1172" s="743"/>
      <c r="K1172" s="869">
        <v>1455515.2855900507</v>
      </c>
      <c r="L1172" s="745"/>
      <c r="M1172" s="869">
        <v>1455515.2855900507</v>
      </c>
      <c r="N1172" s="745"/>
      <c r="O1172" s="745"/>
    </row>
    <row r="1173" spans="1:15">
      <c r="C1173" s="739">
        <f>IF(D1166="","-",+C1172+1)</f>
        <v>2025</v>
      </c>
      <c r="D1173" s="691">
        <f t="shared" ref="D1173:D1231" si="72">F1172</f>
        <v>3531878.5501754382</v>
      </c>
      <c r="E1173" s="746">
        <f>IF(D1173&gt;$I$1169,$I$1169,D1173)</f>
        <v>94603.889736842088</v>
      </c>
      <c r="F1173" s="691">
        <f>+D1173-E1173</f>
        <v>3437274.6604385963</v>
      </c>
      <c r="G1173" s="1230">
        <f>+$I$810*((D1173+F1173)/2)+E1173</f>
        <v>506095.36974001635</v>
      </c>
      <c r="H1173" s="1233">
        <f>+$I$810*((D1173+F1173)/2)+E1173</f>
        <v>506095.36974001635</v>
      </c>
      <c r="I1173" s="743">
        <f t="shared" ref="I1173:I1231" si="73">+H1173-G1173</f>
        <v>0</v>
      </c>
      <c r="J1173" s="743"/>
      <c r="K1173" s="869">
        <v>0</v>
      </c>
      <c r="L1173" s="749"/>
      <c r="M1173" s="869">
        <v>0</v>
      </c>
      <c r="N1173" s="749"/>
      <c r="O1173" s="749"/>
    </row>
    <row r="1174" spans="1:15">
      <c r="C1174" s="1247">
        <f>IF(D1166="","-",+C1173+1)</f>
        <v>2026</v>
      </c>
      <c r="D1174" s="1235">
        <f t="shared" si="72"/>
        <v>3437274.6604385963</v>
      </c>
      <c r="E1174" s="746">
        <f t="shared" ref="E1174:E1231" si="74">IF(D1174&gt;$I$1169,$I$1169,D1174)</f>
        <v>94603.889736842088</v>
      </c>
      <c r="F1174" s="691">
        <f t="shared" ref="F1174:F1231" si="75">+D1174-E1174</f>
        <v>3342670.7707017544</v>
      </c>
      <c r="G1174" s="1230">
        <f t="shared" ref="G1174:G1231" si="76">+$I$810*((D1174+F1174)/2)+E1174</f>
        <v>494923.65535078989</v>
      </c>
      <c r="H1174" s="1233">
        <f t="shared" ref="H1174:H1231" si="77">+$I$810*((D1174+F1174)/2)+E1174</f>
        <v>494923.65535078989</v>
      </c>
      <c r="I1174" s="1239">
        <f t="shared" si="73"/>
        <v>0</v>
      </c>
      <c r="J1174" s="743"/>
      <c r="K1174" s="869"/>
      <c r="L1174" s="749"/>
      <c r="M1174" s="869"/>
      <c r="N1174" s="749"/>
      <c r="O1174" s="749"/>
    </row>
    <row r="1175" spans="1:15">
      <c r="C1175" s="739">
        <f>IF(D1166="","-",+C1174+1)</f>
        <v>2027</v>
      </c>
      <c r="D1175" s="691">
        <f t="shared" si="72"/>
        <v>3342670.7707017544</v>
      </c>
      <c r="E1175" s="746">
        <f t="shared" si="74"/>
        <v>94603.889736842088</v>
      </c>
      <c r="F1175" s="691">
        <f t="shared" si="75"/>
        <v>3248066.8809649125</v>
      </c>
      <c r="G1175" s="1230">
        <f t="shared" si="76"/>
        <v>483751.94096156349</v>
      </c>
      <c r="H1175" s="1233">
        <f t="shared" si="77"/>
        <v>483751.94096156349</v>
      </c>
      <c r="I1175" s="743">
        <f t="shared" si="73"/>
        <v>0</v>
      </c>
      <c r="J1175" s="743"/>
      <c r="K1175" s="869"/>
      <c r="L1175" s="749"/>
      <c r="M1175" s="869"/>
      <c r="N1175" s="749"/>
      <c r="O1175" s="749"/>
    </row>
    <row r="1176" spans="1:15">
      <c r="C1176" s="739">
        <f>IF(D1166="","-",+C1175+1)</f>
        <v>2028</v>
      </c>
      <c r="D1176" s="691">
        <f t="shared" si="72"/>
        <v>3248066.8809649125</v>
      </c>
      <c r="E1176" s="746">
        <f t="shared" si="74"/>
        <v>94603.889736842088</v>
      </c>
      <c r="F1176" s="691">
        <f t="shared" si="75"/>
        <v>3153462.9912280706</v>
      </c>
      <c r="G1176" s="1230">
        <f t="shared" si="76"/>
        <v>472580.22657233704</v>
      </c>
      <c r="H1176" s="1233">
        <f t="shared" si="77"/>
        <v>472580.22657233704</v>
      </c>
      <c r="I1176" s="743">
        <f t="shared" si="73"/>
        <v>0</v>
      </c>
      <c r="J1176" s="743"/>
      <c r="K1176" s="869"/>
      <c r="L1176" s="749"/>
      <c r="M1176" s="869"/>
      <c r="N1176" s="749"/>
      <c r="O1176" s="749"/>
    </row>
    <row r="1177" spans="1:15">
      <c r="C1177" s="739">
        <f>IF(D1166="","-",+C1176+1)</f>
        <v>2029</v>
      </c>
      <c r="D1177" s="691">
        <f t="shared" si="72"/>
        <v>3153462.9912280706</v>
      </c>
      <c r="E1177" s="746">
        <f t="shared" si="74"/>
        <v>94603.889736842088</v>
      </c>
      <c r="F1177" s="691">
        <f t="shared" si="75"/>
        <v>3058859.1014912287</v>
      </c>
      <c r="G1177" s="1230">
        <f t="shared" si="76"/>
        <v>461408.51218311064</v>
      </c>
      <c r="H1177" s="1233">
        <f t="shared" si="77"/>
        <v>461408.51218311064</v>
      </c>
      <c r="I1177" s="743">
        <f t="shared" si="73"/>
        <v>0</v>
      </c>
      <c r="J1177" s="743"/>
      <c r="K1177" s="869"/>
      <c r="L1177" s="749"/>
      <c r="M1177" s="869"/>
      <c r="N1177" s="749"/>
      <c r="O1177" s="749"/>
    </row>
    <row r="1178" spans="1:15">
      <c r="C1178" s="739">
        <f>IF(D1166="","-",+C1177+1)</f>
        <v>2030</v>
      </c>
      <c r="D1178" s="691">
        <f t="shared" si="72"/>
        <v>3058859.1014912287</v>
      </c>
      <c r="E1178" s="746">
        <f t="shared" si="74"/>
        <v>94603.889736842088</v>
      </c>
      <c r="F1178" s="691">
        <f t="shared" si="75"/>
        <v>2964255.2117543868</v>
      </c>
      <c r="G1178" s="1230">
        <f t="shared" si="76"/>
        <v>450236.79779388418</v>
      </c>
      <c r="H1178" s="1233">
        <f t="shared" si="77"/>
        <v>450236.79779388418</v>
      </c>
      <c r="I1178" s="743">
        <f t="shared" si="73"/>
        <v>0</v>
      </c>
      <c r="J1178" s="743"/>
      <c r="K1178" s="869"/>
      <c r="L1178" s="749"/>
      <c r="M1178" s="869"/>
      <c r="N1178" s="749"/>
      <c r="O1178" s="749"/>
    </row>
    <row r="1179" spans="1:15">
      <c r="C1179" s="739">
        <f>IF(D1166="","-",+C1178+1)</f>
        <v>2031</v>
      </c>
      <c r="D1179" s="691">
        <f t="shared" si="72"/>
        <v>2964255.2117543868</v>
      </c>
      <c r="E1179" s="746">
        <f t="shared" si="74"/>
        <v>94603.889736842088</v>
      </c>
      <c r="F1179" s="691">
        <f t="shared" si="75"/>
        <v>2869651.3220175449</v>
      </c>
      <c r="G1179" s="1230">
        <f t="shared" si="76"/>
        <v>439065.08340465778</v>
      </c>
      <c r="H1179" s="1233">
        <f t="shared" si="77"/>
        <v>439065.08340465778</v>
      </c>
      <c r="I1179" s="743">
        <f t="shared" si="73"/>
        <v>0</v>
      </c>
      <c r="J1179" s="743"/>
      <c r="K1179" s="869"/>
      <c r="L1179" s="749"/>
      <c r="M1179" s="869"/>
      <c r="N1179" s="749"/>
      <c r="O1179" s="749"/>
    </row>
    <row r="1180" spans="1:15">
      <c r="C1180" s="739">
        <f>IF(D1166="","-",+C1179+1)</f>
        <v>2032</v>
      </c>
      <c r="D1180" s="691">
        <f t="shared" si="72"/>
        <v>2869651.3220175449</v>
      </c>
      <c r="E1180" s="746">
        <f t="shared" si="74"/>
        <v>94603.889736842088</v>
      </c>
      <c r="F1180" s="691">
        <f t="shared" si="75"/>
        <v>2775047.432280703</v>
      </c>
      <c r="G1180" s="1230">
        <f t="shared" si="76"/>
        <v>427893.36901543132</v>
      </c>
      <c r="H1180" s="1233">
        <f t="shared" si="77"/>
        <v>427893.36901543132</v>
      </c>
      <c r="I1180" s="743">
        <f t="shared" si="73"/>
        <v>0</v>
      </c>
      <c r="J1180" s="743"/>
      <c r="K1180" s="869"/>
      <c r="L1180" s="749"/>
      <c r="M1180" s="869"/>
      <c r="N1180" s="749"/>
      <c r="O1180" s="749"/>
    </row>
    <row r="1181" spans="1:15">
      <c r="C1181" s="739">
        <f>IF(D1166="","-",+C1180+1)</f>
        <v>2033</v>
      </c>
      <c r="D1181" s="691">
        <f t="shared" si="72"/>
        <v>2775047.432280703</v>
      </c>
      <c r="E1181" s="746">
        <f t="shared" si="74"/>
        <v>94603.889736842088</v>
      </c>
      <c r="F1181" s="691">
        <f t="shared" si="75"/>
        <v>2680443.5425438611</v>
      </c>
      <c r="G1181" s="1230">
        <f t="shared" si="76"/>
        <v>416721.65462620492</v>
      </c>
      <c r="H1181" s="1233">
        <f t="shared" si="77"/>
        <v>416721.65462620492</v>
      </c>
      <c r="I1181" s="743">
        <f t="shared" si="73"/>
        <v>0</v>
      </c>
      <c r="J1181" s="743"/>
      <c r="K1181" s="869"/>
      <c r="L1181" s="749"/>
      <c r="M1181" s="869"/>
      <c r="N1181" s="749"/>
      <c r="O1181" s="749"/>
    </row>
    <row r="1182" spans="1:15">
      <c r="C1182" s="739">
        <f>IF(D1166="","-",+C1181+1)</f>
        <v>2034</v>
      </c>
      <c r="D1182" s="691">
        <f t="shared" si="72"/>
        <v>2680443.5425438611</v>
      </c>
      <c r="E1182" s="746">
        <f t="shared" si="74"/>
        <v>94603.889736842088</v>
      </c>
      <c r="F1182" s="691">
        <f t="shared" si="75"/>
        <v>2585839.6528070192</v>
      </c>
      <c r="G1182" s="1230">
        <f t="shared" si="76"/>
        <v>405549.94023697847</v>
      </c>
      <c r="H1182" s="1233">
        <f t="shared" si="77"/>
        <v>405549.94023697847</v>
      </c>
      <c r="I1182" s="743">
        <f t="shared" si="73"/>
        <v>0</v>
      </c>
      <c r="J1182" s="743"/>
      <c r="K1182" s="869"/>
      <c r="L1182" s="749"/>
      <c r="M1182" s="869"/>
      <c r="N1182" s="749"/>
      <c r="O1182" s="749"/>
    </row>
    <row r="1183" spans="1:15">
      <c r="C1183" s="739">
        <f>IF(D1166="","-",+C1182+1)</f>
        <v>2035</v>
      </c>
      <c r="D1183" s="691">
        <f t="shared" si="72"/>
        <v>2585839.6528070192</v>
      </c>
      <c r="E1183" s="746">
        <f t="shared" si="74"/>
        <v>94603.889736842088</v>
      </c>
      <c r="F1183" s="691">
        <f t="shared" si="75"/>
        <v>2491235.7630701773</v>
      </c>
      <c r="G1183" s="1230">
        <f t="shared" si="76"/>
        <v>394378.22584775207</v>
      </c>
      <c r="H1183" s="1233">
        <f t="shared" si="77"/>
        <v>394378.22584775207</v>
      </c>
      <c r="I1183" s="743">
        <f t="shared" si="73"/>
        <v>0</v>
      </c>
      <c r="J1183" s="743"/>
      <c r="K1183" s="869"/>
      <c r="L1183" s="749"/>
      <c r="M1183" s="869"/>
      <c r="N1183" s="749"/>
      <c r="O1183" s="749"/>
    </row>
    <row r="1184" spans="1:15">
      <c r="C1184" s="739">
        <f>IF(D1166="","-",+C1183+1)</f>
        <v>2036</v>
      </c>
      <c r="D1184" s="691">
        <f t="shared" si="72"/>
        <v>2491235.7630701773</v>
      </c>
      <c r="E1184" s="746">
        <f t="shared" si="74"/>
        <v>94603.889736842088</v>
      </c>
      <c r="F1184" s="691">
        <f t="shared" si="75"/>
        <v>2396631.8733333354</v>
      </c>
      <c r="G1184" s="1230">
        <f t="shared" si="76"/>
        <v>383206.51145852561</v>
      </c>
      <c r="H1184" s="1233">
        <f t="shared" si="77"/>
        <v>383206.51145852561</v>
      </c>
      <c r="I1184" s="743">
        <f t="shared" si="73"/>
        <v>0</v>
      </c>
      <c r="J1184" s="743"/>
      <c r="K1184" s="869"/>
      <c r="L1184" s="749"/>
      <c r="M1184" s="869"/>
      <c r="N1184" s="749"/>
      <c r="O1184" s="749"/>
    </row>
    <row r="1185" spans="3:15">
      <c r="C1185" s="739">
        <f>IF(D1166="","-",+C1184+1)</f>
        <v>2037</v>
      </c>
      <c r="D1185" s="691">
        <f t="shared" si="72"/>
        <v>2396631.8733333354</v>
      </c>
      <c r="E1185" s="746">
        <f t="shared" si="74"/>
        <v>94603.889736842088</v>
      </c>
      <c r="F1185" s="691">
        <f t="shared" si="75"/>
        <v>2302027.9835964935</v>
      </c>
      <c r="G1185" s="1230">
        <f t="shared" si="76"/>
        <v>372034.79706929921</v>
      </c>
      <c r="H1185" s="1233">
        <f t="shared" si="77"/>
        <v>372034.79706929921</v>
      </c>
      <c r="I1185" s="743">
        <f t="shared" si="73"/>
        <v>0</v>
      </c>
      <c r="J1185" s="743"/>
      <c r="K1185" s="869"/>
      <c r="L1185" s="749"/>
      <c r="M1185" s="869"/>
      <c r="N1185" s="749"/>
      <c r="O1185" s="749"/>
    </row>
    <row r="1186" spans="3:15">
      <c r="C1186" s="739">
        <f>IF(D1166="","-",+C1185+1)</f>
        <v>2038</v>
      </c>
      <c r="D1186" s="691">
        <f t="shared" si="72"/>
        <v>2302027.9835964935</v>
      </c>
      <c r="E1186" s="746">
        <f t="shared" si="74"/>
        <v>94603.889736842088</v>
      </c>
      <c r="F1186" s="691">
        <f t="shared" si="75"/>
        <v>2207424.0938596516</v>
      </c>
      <c r="G1186" s="1230">
        <f t="shared" si="76"/>
        <v>360863.08268007275</v>
      </c>
      <c r="H1186" s="1233">
        <f t="shared" si="77"/>
        <v>360863.08268007275</v>
      </c>
      <c r="I1186" s="743">
        <f t="shared" si="73"/>
        <v>0</v>
      </c>
      <c r="J1186" s="743"/>
      <c r="K1186" s="869"/>
      <c r="L1186" s="749"/>
      <c r="M1186" s="869"/>
      <c r="N1186" s="749"/>
      <c r="O1186" s="749"/>
    </row>
    <row r="1187" spans="3:15">
      <c r="C1187" s="739">
        <f>IF(D1166="","-",+C1186+1)</f>
        <v>2039</v>
      </c>
      <c r="D1187" s="691">
        <f t="shared" si="72"/>
        <v>2207424.0938596516</v>
      </c>
      <c r="E1187" s="746">
        <f t="shared" si="74"/>
        <v>94603.889736842088</v>
      </c>
      <c r="F1187" s="691">
        <f t="shared" si="75"/>
        <v>2112820.2041228097</v>
      </c>
      <c r="G1187" s="1230">
        <f t="shared" si="76"/>
        <v>349691.36829084641</v>
      </c>
      <c r="H1187" s="1233">
        <f t="shared" si="77"/>
        <v>349691.36829084641</v>
      </c>
      <c r="I1187" s="743">
        <f t="shared" si="73"/>
        <v>0</v>
      </c>
      <c r="J1187" s="743"/>
      <c r="K1187" s="869"/>
      <c r="L1187" s="749"/>
      <c r="M1187" s="869"/>
      <c r="N1187" s="749"/>
      <c r="O1187" s="749"/>
    </row>
    <row r="1188" spans="3:15">
      <c r="C1188" s="739">
        <f>IF(D1166="","-",+C1187+1)</f>
        <v>2040</v>
      </c>
      <c r="D1188" s="691">
        <f t="shared" si="72"/>
        <v>2112820.2041228097</v>
      </c>
      <c r="E1188" s="746">
        <f t="shared" si="74"/>
        <v>94603.889736842088</v>
      </c>
      <c r="F1188" s="691">
        <f t="shared" si="75"/>
        <v>2018216.3143859676</v>
      </c>
      <c r="G1188" s="1230">
        <f t="shared" si="76"/>
        <v>338519.65390161989</v>
      </c>
      <c r="H1188" s="1233">
        <f t="shared" si="77"/>
        <v>338519.65390161989</v>
      </c>
      <c r="I1188" s="743">
        <f t="shared" si="73"/>
        <v>0</v>
      </c>
      <c r="J1188" s="743"/>
      <c r="K1188" s="869"/>
      <c r="L1188" s="749"/>
      <c r="M1188" s="869"/>
      <c r="N1188" s="749"/>
      <c r="O1188" s="749"/>
    </row>
    <row r="1189" spans="3:15">
      <c r="C1189" s="739">
        <f>IF(D1166="","-",+C1188+1)</f>
        <v>2041</v>
      </c>
      <c r="D1189" s="691">
        <f t="shared" si="72"/>
        <v>2018216.3143859676</v>
      </c>
      <c r="E1189" s="746">
        <f t="shared" si="74"/>
        <v>94603.889736842088</v>
      </c>
      <c r="F1189" s="691">
        <f t="shared" si="75"/>
        <v>1923612.4246491254</v>
      </c>
      <c r="G1189" s="1230">
        <f t="shared" si="76"/>
        <v>327347.9395123935</v>
      </c>
      <c r="H1189" s="1233">
        <f t="shared" si="77"/>
        <v>327347.9395123935</v>
      </c>
      <c r="I1189" s="743">
        <f t="shared" si="73"/>
        <v>0</v>
      </c>
      <c r="J1189" s="743"/>
      <c r="K1189" s="869"/>
      <c r="L1189" s="749"/>
      <c r="M1189" s="869"/>
      <c r="N1189" s="749"/>
      <c r="O1189" s="749"/>
    </row>
    <row r="1190" spans="3:15">
      <c r="C1190" s="739">
        <f>IF(D1166="","-",+C1189+1)</f>
        <v>2042</v>
      </c>
      <c r="D1190" s="691">
        <f t="shared" si="72"/>
        <v>1923612.4246491254</v>
      </c>
      <c r="E1190" s="746">
        <f t="shared" si="74"/>
        <v>94603.889736842088</v>
      </c>
      <c r="F1190" s="691">
        <f t="shared" si="75"/>
        <v>1829008.5349122833</v>
      </c>
      <c r="G1190" s="1230">
        <f t="shared" si="76"/>
        <v>316176.22512316698</v>
      </c>
      <c r="H1190" s="1233">
        <f t="shared" si="77"/>
        <v>316176.22512316698</v>
      </c>
      <c r="I1190" s="743">
        <f t="shared" si="73"/>
        <v>0</v>
      </c>
      <c r="J1190" s="743"/>
      <c r="K1190" s="869"/>
      <c r="L1190" s="749"/>
      <c r="M1190" s="869"/>
      <c r="N1190" s="749"/>
      <c r="O1190" s="749"/>
    </row>
    <row r="1191" spans="3:15">
      <c r="C1191" s="739">
        <f>IF(D1166="","-",+C1190+1)</f>
        <v>2043</v>
      </c>
      <c r="D1191" s="691">
        <f t="shared" si="72"/>
        <v>1829008.5349122833</v>
      </c>
      <c r="E1191" s="746">
        <f t="shared" si="74"/>
        <v>94603.889736842088</v>
      </c>
      <c r="F1191" s="691">
        <f t="shared" si="75"/>
        <v>1734404.6451754412</v>
      </c>
      <c r="G1191" s="1230">
        <f t="shared" si="76"/>
        <v>305004.51073394058</v>
      </c>
      <c r="H1191" s="1233">
        <f t="shared" si="77"/>
        <v>305004.51073394058</v>
      </c>
      <c r="I1191" s="743">
        <f t="shared" si="73"/>
        <v>0</v>
      </c>
      <c r="J1191" s="743"/>
      <c r="K1191" s="869"/>
      <c r="L1191" s="749"/>
      <c r="M1191" s="869"/>
      <c r="N1191" s="749"/>
      <c r="O1191" s="749"/>
    </row>
    <row r="1192" spans="3:15">
      <c r="C1192" s="739">
        <f>IF(D1166="","-",+C1191+1)</f>
        <v>2044</v>
      </c>
      <c r="D1192" s="691">
        <f t="shared" si="72"/>
        <v>1734404.6451754412</v>
      </c>
      <c r="E1192" s="746">
        <f t="shared" si="74"/>
        <v>94603.889736842088</v>
      </c>
      <c r="F1192" s="691">
        <f t="shared" si="75"/>
        <v>1639800.755438599</v>
      </c>
      <c r="G1192" s="1230">
        <f t="shared" si="76"/>
        <v>293832.79634471406</v>
      </c>
      <c r="H1192" s="1233">
        <f t="shared" si="77"/>
        <v>293832.79634471406</v>
      </c>
      <c r="I1192" s="743">
        <f t="shared" si="73"/>
        <v>0</v>
      </c>
      <c r="J1192" s="743"/>
      <c r="K1192" s="869"/>
      <c r="L1192" s="749"/>
      <c r="M1192" s="869"/>
      <c r="N1192" s="749"/>
      <c r="O1192" s="749"/>
    </row>
    <row r="1193" spans="3:15">
      <c r="C1193" s="739">
        <f>IF(D1166="","-",+C1192+1)</f>
        <v>2045</v>
      </c>
      <c r="D1193" s="691">
        <f t="shared" si="72"/>
        <v>1639800.755438599</v>
      </c>
      <c r="E1193" s="746">
        <f t="shared" si="74"/>
        <v>94603.889736842088</v>
      </c>
      <c r="F1193" s="691">
        <f t="shared" si="75"/>
        <v>1545196.8657017569</v>
      </c>
      <c r="G1193" s="1230">
        <f t="shared" si="76"/>
        <v>282661.08195548767</v>
      </c>
      <c r="H1193" s="1233">
        <f t="shared" si="77"/>
        <v>282661.08195548767</v>
      </c>
      <c r="I1193" s="743">
        <f t="shared" si="73"/>
        <v>0</v>
      </c>
      <c r="J1193" s="743"/>
      <c r="K1193" s="869"/>
      <c r="L1193" s="749"/>
      <c r="M1193" s="869"/>
      <c r="N1193" s="749"/>
      <c r="O1193" s="749"/>
    </row>
    <row r="1194" spans="3:15">
      <c r="C1194" s="739">
        <f>IF(D1166="","-",+C1193+1)</f>
        <v>2046</v>
      </c>
      <c r="D1194" s="691">
        <f t="shared" si="72"/>
        <v>1545196.8657017569</v>
      </c>
      <c r="E1194" s="746">
        <f t="shared" si="74"/>
        <v>94603.889736842088</v>
      </c>
      <c r="F1194" s="691">
        <f t="shared" si="75"/>
        <v>1450592.9759649148</v>
      </c>
      <c r="G1194" s="1230">
        <f t="shared" si="76"/>
        <v>271489.36756626121</v>
      </c>
      <c r="H1194" s="1233">
        <f t="shared" si="77"/>
        <v>271489.36756626121</v>
      </c>
      <c r="I1194" s="743">
        <f t="shared" si="73"/>
        <v>0</v>
      </c>
      <c r="J1194" s="743"/>
      <c r="K1194" s="869"/>
      <c r="L1194" s="749"/>
      <c r="M1194" s="869"/>
      <c r="N1194" s="749"/>
      <c r="O1194" s="749"/>
    </row>
    <row r="1195" spans="3:15">
      <c r="C1195" s="739">
        <f>IF(D1166="","-",+C1194+1)</f>
        <v>2047</v>
      </c>
      <c r="D1195" s="691">
        <f t="shared" si="72"/>
        <v>1450592.9759649148</v>
      </c>
      <c r="E1195" s="746">
        <f t="shared" si="74"/>
        <v>94603.889736842088</v>
      </c>
      <c r="F1195" s="691">
        <f t="shared" si="75"/>
        <v>1355989.0862280726</v>
      </c>
      <c r="G1195" s="1230">
        <f t="shared" si="76"/>
        <v>260317.65317703475</v>
      </c>
      <c r="H1195" s="1233">
        <f t="shared" si="77"/>
        <v>260317.65317703475</v>
      </c>
      <c r="I1195" s="743">
        <f t="shared" si="73"/>
        <v>0</v>
      </c>
      <c r="J1195" s="743"/>
      <c r="K1195" s="869"/>
      <c r="L1195" s="749"/>
      <c r="M1195" s="869"/>
      <c r="N1195" s="749"/>
      <c r="O1195" s="749"/>
    </row>
    <row r="1196" spans="3:15">
      <c r="C1196" s="739">
        <f>IF(D1166="","-",+C1195+1)</f>
        <v>2048</v>
      </c>
      <c r="D1196" s="691">
        <f t="shared" si="72"/>
        <v>1355989.0862280726</v>
      </c>
      <c r="E1196" s="746">
        <f t="shared" si="74"/>
        <v>94603.889736842088</v>
      </c>
      <c r="F1196" s="691">
        <f t="shared" si="75"/>
        <v>1261385.1964912305</v>
      </c>
      <c r="G1196" s="1230">
        <f t="shared" si="76"/>
        <v>249145.93878780829</v>
      </c>
      <c r="H1196" s="1233">
        <f t="shared" si="77"/>
        <v>249145.93878780829</v>
      </c>
      <c r="I1196" s="743">
        <f t="shared" si="73"/>
        <v>0</v>
      </c>
      <c r="J1196" s="743"/>
      <c r="K1196" s="869"/>
      <c r="L1196" s="749"/>
      <c r="M1196" s="869"/>
      <c r="N1196" s="749"/>
      <c r="O1196" s="749"/>
    </row>
    <row r="1197" spans="3:15">
      <c r="C1197" s="739">
        <f>IF(D1166="","-",+C1196+1)</f>
        <v>2049</v>
      </c>
      <c r="D1197" s="691">
        <f t="shared" si="72"/>
        <v>1261385.1964912305</v>
      </c>
      <c r="E1197" s="746">
        <f t="shared" si="74"/>
        <v>94603.889736842088</v>
      </c>
      <c r="F1197" s="691">
        <f t="shared" si="75"/>
        <v>1166781.3067543884</v>
      </c>
      <c r="G1197" s="1230">
        <f t="shared" si="76"/>
        <v>237974.22439858183</v>
      </c>
      <c r="H1197" s="1233">
        <f t="shared" si="77"/>
        <v>237974.22439858183</v>
      </c>
      <c r="I1197" s="743">
        <f t="shared" si="73"/>
        <v>0</v>
      </c>
      <c r="J1197" s="743"/>
      <c r="K1197" s="869"/>
      <c r="L1197" s="749"/>
      <c r="M1197" s="869"/>
      <c r="N1197" s="749"/>
      <c r="O1197" s="749"/>
    </row>
    <row r="1198" spans="3:15">
      <c r="C1198" s="739">
        <f>IF(D1166="","-",+C1197+1)</f>
        <v>2050</v>
      </c>
      <c r="D1198" s="691">
        <f t="shared" si="72"/>
        <v>1166781.3067543884</v>
      </c>
      <c r="E1198" s="746">
        <f t="shared" si="74"/>
        <v>94603.889736842088</v>
      </c>
      <c r="F1198" s="691">
        <f t="shared" si="75"/>
        <v>1072177.4170175462</v>
      </c>
      <c r="G1198" s="1230">
        <f t="shared" si="76"/>
        <v>226802.51000935538</v>
      </c>
      <c r="H1198" s="1233">
        <f t="shared" si="77"/>
        <v>226802.51000935538</v>
      </c>
      <c r="I1198" s="743">
        <f t="shared" si="73"/>
        <v>0</v>
      </c>
      <c r="J1198" s="743"/>
      <c r="K1198" s="869"/>
      <c r="L1198" s="749"/>
      <c r="M1198" s="869"/>
      <c r="N1198" s="749"/>
      <c r="O1198" s="749"/>
    </row>
    <row r="1199" spans="3:15">
      <c r="C1199" s="739">
        <f>IF(D1166="","-",+C1198+1)</f>
        <v>2051</v>
      </c>
      <c r="D1199" s="691">
        <f t="shared" si="72"/>
        <v>1072177.4170175462</v>
      </c>
      <c r="E1199" s="746">
        <f t="shared" si="74"/>
        <v>94603.889736842088</v>
      </c>
      <c r="F1199" s="691">
        <f t="shared" si="75"/>
        <v>977573.52728070412</v>
      </c>
      <c r="G1199" s="1230">
        <f t="shared" si="76"/>
        <v>215630.79562012892</v>
      </c>
      <c r="H1199" s="1233">
        <f t="shared" si="77"/>
        <v>215630.79562012892</v>
      </c>
      <c r="I1199" s="743">
        <f t="shared" si="73"/>
        <v>0</v>
      </c>
      <c r="J1199" s="743"/>
      <c r="K1199" s="869"/>
      <c r="L1199" s="749"/>
      <c r="M1199" s="869"/>
      <c r="N1199" s="749"/>
      <c r="O1199" s="749"/>
    </row>
    <row r="1200" spans="3:15">
      <c r="C1200" s="739">
        <f>IF(D1166="","-",+C1199+1)</f>
        <v>2052</v>
      </c>
      <c r="D1200" s="691">
        <f t="shared" si="72"/>
        <v>977573.52728070412</v>
      </c>
      <c r="E1200" s="746">
        <f t="shared" si="74"/>
        <v>94603.889736842088</v>
      </c>
      <c r="F1200" s="691">
        <f t="shared" si="75"/>
        <v>882969.63754386199</v>
      </c>
      <c r="G1200" s="1230">
        <f t="shared" si="76"/>
        <v>204459.08123090246</v>
      </c>
      <c r="H1200" s="1233">
        <f t="shared" si="77"/>
        <v>204459.08123090246</v>
      </c>
      <c r="I1200" s="743">
        <f t="shared" si="73"/>
        <v>0</v>
      </c>
      <c r="J1200" s="743"/>
      <c r="K1200" s="869"/>
      <c r="L1200" s="749"/>
      <c r="M1200" s="869"/>
      <c r="N1200" s="749"/>
      <c r="O1200" s="749"/>
    </row>
    <row r="1201" spans="3:15">
      <c r="C1201" s="739">
        <f>IF(D1166="","-",+C1200+1)</f>
        <v>2053</v>
      </c>
      <c r="D1201" s="691">
        <f t="shared" si="72"/>
        <v>882969.63754386199</v>
      </c>
      <c r="E1201" s="746">
        <f t="shared" si="74"/>
        <v>94603.889736842088</v>
      </c>
      <c r="F1201" s="691">
        <f t="shared" si="75"/>
        <v>788365.74780701986</v>
      </c>
      <c r="G1201" s="1230">
        <f t="shared" si="76"/>
        <v>193287.366841676</v>
      </c>
      <c r="H1201" s="1233">
        <f t="shared" si="77"/>
        <v>193287.366841676</v>
      </c>
      <c r="I1201" s="743">
        <f t="shared" si="73"/>
        <v>0</v>
      </c>
      <c r="J1201" s="743"/>
      <c r="K1201" s="869"/>
      <c r="L1201" s="749"/>
      <c r="M1201" s="869"/>
      <c r="N1201" s="749"/>
      <c r="O1201" s="749"/>
    </row>
    <row r="1202" spans="3:15">
      <c r="C1202" s="739">
        <f>IF(D1166="","-",+C1201+1)</f>
        <v>2054</v>
      </c>
      <c r="D1202" s="691">
        <f t="shared" si="72"/>
        <v>788365.74780701986</v>
      </c>
      <c r="E1202" s="746">
        <f t="shared" si="74"/>
        <v>94603.889736842088</v>
      </c>
      <c r="F1202" s="691">
        <f t="shared" si="75"/>
        <v>693761.85807017772</v>
      </c>
      <c r="G1202" s="1230">
        <f t="shared" si="76"/>
        <v>182115.65245244955</v>
      </c>
      <c r="H1202" s="1233">
        <f t="shared" si="77"/>
        <v>182115.65245244955</v>
      </c>
      <c r="I1202" s="743">
        <f t="shared" si="73"/>
        <v>0</v>
      </c>
      <c r="J1202" s="743"/>
      <c r="K1202" s="869"/>
      <c r="L1202" s="749"/>
      <c r="M1202" s="869"/>
      <c r="N1202" s="749"/>
      <c r="O1202" s="749"/>
    </row>
    <row r="1203" spans="3:15">
      <c r="C1203" s="739">
        <f>IF(D1166="","-",+C1202+1)</f>
        <v>2055</v>
      </c>
      <c r="D1203" s="691">
        <f t="shared" si="72"/>
        <v>693761.85807017772</v>
      </c>
      <c r="E1203" s="746">
        <f t="shared" si="74"/>
        <v>94603.889736842088</v>
      </c>
      <c r="F1203" s="691">
        <f t="shared" si="75"/>
        <v>599157.96833333559</v>
      </c>
      <c r="G1203" s="1230">
        <f t="shared" si="76"/>
        <v>170943.93806322309</v>
      </c>
      <c r="H1203" s="1233">
        <f t="shared" si="77"/>
        <v>170943.93806322309</v>
      </c>
      <c r="I1203" s="743">
        <f t="shared" si="73"/>
        <v>0</v>
      </c>
      <c r="J1203" s="743"/>
      <c r="K1203" s="869"/>
      <c r="L1203" s="749"/>
      <c r="M1203" s="869"/>
      <c r="N1203" s="749"/>
      <c r="O1203" s="749"/>
    </row>
    <row r="1204" spans="3:15">
      <c r="C1204" s="739">
        <f>IF(D1166="","-",+C1203+1)</f>
        <v>2056</v>
      </c>
      <c r="D1204" s="691">
        <f t="shared" si="72"/>
        <v>599157.96833333559</v>
      </c>
      <c r="E1204" s="746">
        <f t="shared" si="74"/>
        <v>94603.889736842088</v>
      </c>
      <c r="F1204" s="691">
        <f t="shared" si="75"/>
        <v>504554.07859649352</v>
      </c>
      <c r="G1204" s="1230">
        <f t="shared" si="76"/>
        <v>159772.22367399666</v>
      </c>
      <c r="H1204" s="1233">
        <f t="shared" si="77"/>
        <v>159772.22367399666</v>
      </c>
      <c r="I1204" s="743">
        <f t="shared" si="73"/>
        <v>0</v>
      </c>
      <c r="J1204" s="743"/>
      <c r="K1204" s="869"/>
      <c r="L1204" s="749"/>
      <c r="M1204" s="869"/>
      <c r="N1204" s="749"/>
      <c r="O1204" s="749"/>
    </row>
    <row r="1205" spans="3:15">
      <c r="C1205" s="739">
        <f>IF(D1166="","-",+C1204+1)</f>
        <v>2057</v>
      </c>
      <c r="D1205" s="691">
        <f t="shared" si="72"/>
        <v>504554.07859649352</v>
      </c>
      <c r="E1205" s="746">
        <f t="shared" si="74"/>
        <v>94603.889736842088</v>
      </c>
      <c r="F1205" s="691">
        <f t="shared" si="75"/>
        <v>409950.18885965145</v>
      </c>
      <c r="G1205" s="1230">
        <f t="shared" si="76"/>
        <v>148600.5092847702</v>
      </c>
      <c r="H1205" s="1233">
        <f t="shared" si="77"/>
        <v>148600.5092847702</v>
      </c>
      <c r="I1205" s="743">
        <f t="shared" si="73"/>
        <v>0</v>
      </c>
      <c r="J1205" s="743"/>
      <c r="K1205" s="869"/>
      <c r="L1205" s="749"/>
      <c r="M1205" s="869"/>
      <c r="N1205" s="749"/>
      <c r="O1205" s="749"/>
    </row>
    <row r="1206" spans="3:15">
      <c r="C1206" s="739">
        <f>IF(D1166="","-",+C1205+1)</f>
        <v>2058</v>
      </c>
      <c r="D1206" s="691">
        <f t="shared" si="72"/>
        <v>409950.18885965145</v>
      </c>
      <c r="E1206" s="746">
        <f t="shared" si="74"/>
        <v>94603.889736842088</v>
      </c>
      <c r="F1206" s="691">
        <f t="shared" si="75"/>
        <v>315346.29912280937</v>
      </c>
      <c r="G1206" s="1230">
        <f t="shared" si="76"/>
        <v>137428.79489554378</v>
      </c>
      <c r="H1206" s="1233">
        <f t="shared" si="77"/>
        <v>137428.79489554378</v>
      </c>
      <c r="I1206" s="743">
        <f t="shared" si="73"/>
        <v>0</v>
      </c>
      <c r="J1206" s="743"/>
      <c r="K1206" s="869"/>
      <c r="L1206" s="749"/>
      <c r="M1206" s="869"/>
      <c r="N1206" s="749"/>
      <c r="O1206" s="749"/>
    </row>
    <row r="1207" spans="3:15">
      <c r="C1207" s="739">
        <f>IF(D1166="","-",+C1206+1)</f>
        <v>2059</v>
      </c>
      <c r="D1207" s="691">
        <f t="shared" si="72"/>
        <v>315346.29912280937</v>
      </c>
      <c r="E1207" s="746">
        <f t="shared" si="74"/>
        <v>94603.889736842088</v>
      </c>
      <c r="F1207" s="691">
        <f t="shared" si="75"/>
        <v>220742.4093859673</v>
      </c>
      <c r="G1207" s="1230">
        <f t="shared" si="76"/>
        <v>126257.08050631732</v>
      </c>
      <c r="H1207" s="1233">
        <f t="shared" si="77"/>
        <v>126257.08050631732</v>
      </c>
      <c r="I1207" s="743">
        <f t="shared" si="73"/>
        <v>0</v>
      </c>
      <c r="J1207" s="743"/>
      <c r="K1207" s="869"/>
      <c r="L1207" s="749"/>
      <c r="M1207" s="869"/>
      <c r="N1207" s="749"/>
      <c r="O1207" s="749"/>
    </row>
    <row r="1208" spans="3:15">
      <c r="C1208" s="739">
        <f>IF(D1166="","-",+C1207+1)</f>
        <v>2060</v>
      </c>
      <c r="D1208" s="691">
        <f t="shared" si="72"/>
        <v>220742.4093859673</v>
      </c>
      <c r="E1208" s="746">
        <f t="shared" si="74"/>
        <v>94603.889736842088</v>
      </c>
      <c r="F1208" s="691">
        <f t="shared" si="75"/>
        <v>126138.51964912521</v>
      </c>
      <c r="G1208" s="1230">
        <f t="shared" si="76"/>
        <v>115085.36611709086</v>
      </c>
      <c r="H1208" s="1233">
        <f t="shared" si="77"/>
        <v>115085.36611709086</v>
      </c>
      <c r="I1208" s="743">
        <f t="shared" si="73"/>
        <v>0</v>
      </c>
      <c r="J1208" s="743"/>
      <c r="K1208" s="869"/>
      <c r="L1208" s="749"/>
      <c r="M1208" s="869"/>
      <c r="N1208" s="749"/>
      <c r="O1208" s="749"/>
    </row>
    <row r="1209" spans="3:15">
      <c r="C1209" s="739">
        <f>IF(D1166="","-",+C1208+1)</f>
        <v>2061</v>
      </c>
      <c r="D1209" s="691">
        <f t="shared" si="72"/>
        <v>126138.51964912521</v>
      </c>
      <c r="E1209" s="746">
        <f t="shared" si="74"/>
        <v>94603.889736842088</v>
      </c>
      <c r="F1209" s="691">
        <f t="shared" si="75"/>
        <v>31534.629912283126</v>
      </c>
      <c r="G1209" s="1230">
        <f t="shared" si="76"/>
        <v>103913.65172786442</v>
      </c>
      <c r="H1209" s="1233">
        <f t="shared" si="77"/>
        <v>103913.65172786442</v>
      </c>
      <c r="I1209" s="743">
        <f t="shared" si="73"/>
        <v>0</v>
      </c>
      <c r="J1209" s="743"/>
      <c r="K1209" s="869"/>
      <c r="L1209" s="749"/>
      <c r="M1209" s="869"/>
      <c r="N1209" s="749"/>
      <c r="O1209" s="749"/>
    </row>
    <row r="1210" spans="3:15">
      <c r="C1210" s="739">
        <f>IF(D1166="","-",+C1209+1)</f>
        <v>2062</v>
      </c>
      <c r="D1210" s="691">
        <f t="shared" si="72"/>
        <v>31534.629912283126</v>
      </c>
      <c r="E1210" s="746">
        <f t="shared" si="74"/>
        <v>31534.629912283126</v>
      </c>
      <c r="F1210" s="691">
        <f t="shared" si="75"/>
        <v>0</v>
      </c>
      <c r="G1210" s="1230">
        <f t="shared" si="76"/>
        <v>33396.582310487676</v>
      </c>
      <c r="H1210" s="1233">
        <f t="shared" si="77"/>
        <v>33396.582310487676</v>
      </c>
      <c r="I1210" s="743">
        <f t="shared" si="73"/>
        <v>0</v>
      </c>
      <c r="J1210" s="743"/>
      <c r="K1210" s="869"/>
      <c r="L1210" s="749"/>
      <c r="M1210" s="869"/>
      <c r="N1210" s="749"/>
      <c r="O1210" s="749"/>
    </row>
    <row r="1211" spans="3:15">
      <c r="C1211" s="739">
        <f>IF(D1166="","-",+C1210+1)</f>
        <v>2063</v>
      </c>
      <c r="D1211" s="691">
        <f t="shared" si="72"/>
        <v>0</v>
      </c>
      <c r="E1211" s="746">
        <f t="shared" si="74"/>
        <v>0</v>
      </c>
      <c r="F1211" s="691">
        <f t="shared" si="75"/>
        <v>0</v>
      </c>
      <c r="G1211" s="1230">
        <f t="shared" si="76"/>
        <v>0</v>
      </c>
      <c r="H1211" s="1233">
        <f t="shared" si="77"/>
        <v>0</v>
      </c>
      <c r="I1211" s="743">
        <f t="shared" si="73"/>
        <v>0</v>
      </c>
      <c r="J1211" s="743"/>
      <c r="K1211" s="869"/>
      <c r="L1211" s="749"/>
      <c r="M1211" s="869"/>
      <c r="N1211" s="749"/>
      <c r="O1211" s="749"/>
    </row>
    <row r="1212" spans="3:15">
      <c r="C1212" s="739">
        <f>IF(D1166="","-",+C1211+1)</f>
        <v>2064</v>
      </c>
      <c r="D1212" s="691">
        <f t="shared" si="72"/>
        <v>0</v>
      </c>
      <c r="E1212" s="746">
        <f t="shared" si="74"/>
        <v>0</v>
      </c>
      <c r="F1212" s="691">
        <f t="shared" si="75"/>
        <v>0</v>
      </c>
      <c r="G1212" s="1230">
        <f t="shared" si="76"/>
        <v>0</v>
      </c>
      <c r="H1212" s="1233">
        <f t="shared" si="77"/>
        <v>0</v>
      </c>
      <c r="I1212" s="743">
        <f t="shared" si="73"/>
        <v>0</v>
      </c>
      <c r="J1212" s="743"/>
      <c r="K1212" s="869"/>
      <c r="L1212" s="749"/>
      <c r="M1212" s="869"/>
      <c r="N1212" s="749"/>
      <c r="O1212" s="749"/>
    </row>
    <row r="1213" spans="3:15">
      <c r="C1213" s="739">
        <f>IF(D1166="","-",+C1212+1)</f>
        <v>2065</v>
      </c>
      <c r="D1213" s="691">
        <f t="shared" si="72"/>
        <v>0</v>
      </c>
      <c r="E1213" s="746">
        <f t="shared" si="74"/>
        <v>0</v>
      </c>
      <c r="F1213" s="691">
        <f t="shared" si="75"/>
        <v>0</v>
      </c>
      <c r="G1213" s="1230">
        <f t="shared" si="76"/>
        <v>0</v>
      </c>
      <c r="H1213" s="1233">
        <f t="shared" si="77"/>
        <v>0</v>
      </c>
      <c r="I1213" s="743">
        <f t="shared" si="73"/>
        <v>0</v>
      </c>
      <c r="J1213" s="743"/>
      <c r="K1213" s="869"/>
      <c r="L1213" s="749"/>
      <c r="M1213" s="869"/>
      <c r="N1213" s="749"/>
      <c r="O1213" s="749"/>
    </row>
    <row r="1214" spans="3:15">
      <c r="C1214" s="739">
        <f>IF(D1166="","-",+C1213+1)</f>
        <v>2066</v>
      </c>
      <c r="D1214" s="691">
        <f t="shared" si="72"/>
        <v>0</v>
      </c>
      <c r="E1214" s="746">
        <f t="shared" si="74"/>
        <v>0</v>
      </c>
      <c r="F1214" s="691">
        <f t="shared" si="75"/>
        <v>0</v>
      </c>
      <c r="G1214" s="1230">
        <f t="shared" si="76"/>
        <v>0</v>
      </c>
      <c r="H1214" s="1233">
        <f t="shared" si="77"/>
        <v>0</v>
      </c>
      <c r="I1214" s="743">
        <f t="shared" si="73"/>
        <v>0</v>
      </c>
      <c r="J1214" s="743"/>
      <c r="K1214" s="869"/>
      <c r="L1214" s="749"/>
      <c r="M1214" s="869"/>
      <c r="N1214" s="749"/>
      <c r="O1214" s="749"/>
    </row>
    <row r="1215" spans="3:15">
      <c r="C1215" s="739">
        <f>IF(D1166="","-",+C1214+1)</f>
        <v>2067</v>
      </c>
      <c r="D1215" s="691">
        <f t="shared" si="72"/>
        <v>0</v>
      </c>
      <c r="E1215" s="746">
        <f t="shared" si="74"/>
        <v>0</v>
      </c>
      <c r="F1215" s="691">
        <f t="shared" si="75"/>
        <v>0</v>
      </c>
      <c r="G1215" s="1230">
        <f t="shared" si="76"/>
        <v>0</v>
      </c>
      <c r="H1215" s="1233">
        <f t="shared" si="77"/>
        <v>0</v>
      </c>
      <c r="I1215" s="743">
        <f t="shared" si="73"/>
        <v>0</v>
      </c>
      <c r="J1215" s="743"/>
      <c r="K1215" s="869"/>
      <c r="L1215" s="749"/>
      <c r="M1215" s="869"/>
      <c r="N1215" s="749"/>
      <c r="O1215" s="749"/>
    </row>
    <row r="1216" spans="3:15">
      <c r="C1216" s="739">
        <f>IF(D1166="","-",+C1215+1)</f>
        <v>2068</v>
      </c>
      <c r="D1216" s="691">
        <f t="shared" si="72"/>
        <v>0</v>
      </c>
      <c r="E1216" s="746">
        <f t="shared" si="74"/>
        <v>0</v>
      </c>
      <c r="F1216" s="691">
        <f t="shared" si="75"/>
        <v>0</v>
      </c>
      <c r="G1216" s="1230">
        <f t="shared" si="76"/>
        <v>0</v>
      </c>
      <c r="H1216" s="1233">
        <f t="shared" si="77"/>
        <v>0</v>
      </c>
      <c r="I1216" s="743">
        <f t="shared" si="73"/>
        <v>0</v>
      </c>
      <c r="J1216" s="743"/>
      <c r="K1216" s="869"/>
      <c r="L1216" s="749"/>
      <c r="M1216" s="869"/>
      <c r="N1216" s="749"/>
      <c r="O1216" s="749"/>
    </row>
    <row r="1217" spans="3:15">
      <c r="C1217" s="739">
        <f>IF(D1166="","-",+C1216+1)</f>
        <v>2069</v>
      </c>
      <c r="D1217" s="691">
        <f t="shared" si="72"/>
        <v>0</v>
      </c>
      <c r="E1217" s="746">
        <f t="shared" si="74"/>
        <v>0</v>
      </c>
      <c r="F1217" s="691">
        <f t="shared" si="75"/>
        <v>0</v>
      </c>
      <c r="G1217" s="1230">
        <f t="shared" si="76"/>
        <v>0</v>
      </c>
      <c r="H1217" s="1233">
        <f t="shared" si="77"/>
        <v>0</v>
      </c>
      <c r="I1217" s="743">
        <f t="shared" si="73"/>
        <v>0</v>
      </c>
      <c r="J1217" s="743"/>
      <c r="K1217" s="869"/>
      <c r="L1217" s="749"/>
      <c r="M1217" s="869"/>
      <c r="N1217" s="749"/>
      <c r="O1217" s="749"/>
    </row>
    <row r="1218" spans="3:15">
      <c r="C1218" s="739">
        <f>IF(D1166="","-",+C1217+1)</f>
        <v>2070</v>
      </c>
      <c r="D1218" s="691">
        <f t="shared" si="72"/>
        <v>0</v>
      </c>
      <c r="E1218" s="746">
        <f t="shared" si="74"/>
        <v>0</v>
      </c>
      <c r="F1218" s="691">
        <f t="shared" si="75"/>
        <v>0</v>
      </c>
      <c r="G1218" s="1230">
        <f t="shared" si="76"/>
        <v>0</v>
      </c>
      <c r="H1218" s="1233">
        <f t="shared" si="77"/>
        <v>0</v>
      </c>
      <c r="I1218" s="743">
        <f t="shared" si="73"/>
        <v>0</v>
      </c>
      <c r="J1218" s="743"/>
      <c r="K1218" s="869"/>
      <c r="L1218" s="749"/>
      <c r="M1218" s="869"/>
      <c r="N1218" s="749"/>
      <c r="O1218" s="749"/>
    </row>
    <row r="1219" spans="3:15">
      <c r="C1219" s="739">
        <f>IF(D1166="","-",+C1218+1)</f>
        <v>2071</v>
      </c>
      <c r="D1219" s="691">
        <f t="shared" si="72"/>
        <v>0</v>
      </c>
      <c r="E1219" s="746">
        <f t="shared" si="74"/>
        <v>0</v>
      </c>
      <c r="F1219" s="691">
        <f t="shared" si="75"/>
        <v>0</v>
      </c>
      <c r="G1219" s="1230">
        <f t="shared" si="76"/>
        <v>0</v>
      </c>
      <c r="H1219" s="1233">
        <f t="shared" si="77"/>
        <v>0</v>
      </c>
      <c r="I1219" s="743">
        <f t="shared" si="73"/>
        <v>0</v>
      </c>
      <c r="J1219" s="743"/>
      <c r="K1219" s="869"/>
      <c r="L1219" s="749"/>
      <c r="M1219" s="869"/>
      <c r="N1219" s="749"/>
      <c r="O1219" s="749"/>
    </row>
    <row r="1220" spans="3:15">
      <c r="C1220" s="739">
        <f>IF(D1166="","-",+C1219+1)</f>
        <v>2072</v>
      </c>
      <c r="D1220" s="691">
        <f t="shared" si="72"/>
        <v>0</v>
      </c>
      <c r="E1220" s="746">
        <f t="shared" si="74"/>
        <v>0</v>
      </c>
      <c r="F1220" s="691">
        <f t="shared" si="75"/>
        <v>0</v>
      </c>
      <c r="G1220" s="1230">
        <f t="shared" si="76"/>
        <v>0</v>
      </c>
      <c r="H1220" s="1233">
        <f t="shared" si="77"/>
        <v>0</v>
      </c>
      <c r="I1220" s="743">
        <f t="shared" si="73"/>
        <v>0</v>
      </c>
      <c r="J1220" s="743"/>
      <c r="K1220" s="869"/>
      <c r="L1220" s="749"/>
      <c r="M1220" s="869"/>
      <c r="N1220" s="749"/>
      <c r="O1220" s="749"/>
    </row>
    <row r="1221" spans="3:15">
      <c r="C1221" s="739">
        <f>IF(D1166="","-",+C1220+1)</f>
        <v>2073</v>
      </c>
      <c r="D1221" s="691">
        <f t="shared" si="72"/>
        <v>0</v>
      </c>
      <c r="E1221" s="746">
        <f t="shared" si="74"/>
        <v>0</v>
      </c>
      <c r="F1221" s="691">
        <f t="shared" si="75"/>
        <v>0</v>
      </c>
      <c r="G1221" s="1230">
        <f t="shared" si="76"/>
        <v>0</v>
      </c>
      <c r="H1221" s="1233">
        <f t="shared" si="77"/>
        <v>0</v>
      </c>
      <c r="I1221" s="743">
        <f t="shared" si="73"/>
        <v>0</v>
      </c>
      <c r="J1221" s="743"/>
      <c r="K1221" s="869"/>
      <c r="L1221" s="749"/>
      <c r="M1221" s="869"/>
      <c r="N1221" s="749"/>
      <c r="O1221" s="749"/>
    </row>
    <row r="1222" spans="3:15">
      <c r="C1222" s="739">
        <f>IF(D1166="","-",+C1221+1)</f>
        <v>2074</v>
      </c>
      <c r="D1222" s="691">
        <f t="shared" si="72"/>
        <v>0</v>
      </c>
      <c r="E1222" s="746">
        <f t="shared" si="74"/>
        <v>0</v>
      </c>
      <c r="F1222" s="691">
        <f t="shared" si="75"/>
        <v>0</v>
      </c>
      <c r="G1222" s="1230">
        <f t="shared" si="76"/>
        <v>0</v>
      </c>
      <c r="H1222" s="1233">
        <f t="shared" si="77"/>
        <v>0</v>
      </c>
      <c r="I1222" s="743">
        <f t="shared" si="73"/>
        <v>0</v>
      </c>
      <c r="J1222" s="743"/>
      <c r="K1222" s="869"/>
      <c r="L1222" s="749"/>
      <c r="M1222" s="869"/>
      <c r="N1222" s="749"/>
      <c r="O1222" s="749"/>
    </row>
    <row r="1223" spans="3:15">
      <c r="C1223" s="739">
        <f>IF(D1166="","-",+C1222+1)</f>
        <v>2075</v>
      </c>
      <c r="D1223" s="691">
        <f t="shared" si="72"/>
        <v>0</v>
      </c>
      <c r="E1223" s="746">
        <f t="shared" si="74"/>
        <v>0</v>
      </c>
      <c r="F1223" s="691">
        <f t="shared" si="75"/>
        <v>0</v>
      </c>
      <c r="G1223" s="1230">
        <f t="shared" si="76"/>
        <v>0</v>
      </c>
      <c r="H1223" s="1233">
        <f t="shared" si="77"/>
        <v>0</v>
      </c>
      <c r="I1223" s="743">
        <f t="shared" si="73"/>
        <v>0</v>
      </c>
      <c r="J1223" s="743"/>
      <c r="K1223" s="869"/>
      <c r="L1223" s="749"/>
      <c r="M1223" s="869"/>
      <c r="N1223" s="749"/>
      <c r="O1223" s="749"/>
    </row>
    <row r="1224" spans="3:15">
      <c r="C1224" s="739">
        <f>IF(D1166="","-",+C1223+1)</f>
        <v>2076</v>
      </c>
      <c r="D1224" s="691">
        <f t="shared" si="72"/>
        <v>0</v>
      </c>
      <c r="E1224" s="746">
        <f t="shared" si="74"/>
        <v>0</v>
      </c>
      <c r="F1224" s="691">
        <f t="shared" si="75"/>
        <v>0</v>
      </c>
      <c r="G1224" s="1230">
        <f t="shared" si="76"/>
        <v>0</v>
      </c>
      <c r="H1224" s="1233">
        <f t="shared" si="77"/>
        <v>0</v>
      </c>
      <c r="I1224" s="743">
        <f t="shared" si="73"/>
        <v>0</v>
      </c>
      <c r="J1224" s="743"/>
      <c r="K1224" s="869"/>
      <c r="L1224" s="749"/>
      <c r="M1224" s="869"/>
      <c r="N1224" s="749"/>
      <c r="O1224" s="749"/>
    </row>
    <row r="1225" spans="3:15">
      <c r="C1225" s="739">
        <f>IF(D1166="","-",+C1224+1)</f>
        <v>2077</v>
      </c>
      <c r="D1225" s="691">
        <f t="shared" si="72"/>
        <v>0</v>
      </c>
      <c r="E1225" s="746">
        <f t="shared" si="74"/>
        <v>0</v>
      </c>
      <c r="F1225" s="691">
        <f t="shared" si="75"/>
        <v>0</v>
      </c>
      <c r="G1225" s="1230">
        <f t="shared" si="76"/>
        <v>0</v>
      </c>
      <c r="H1225" s="1233">
        <f t="shared" si="77"/>
        <v>0</v>
      </c>
      <c r="I1225" s="743">
        <f t="shared" si="73"/>
        <v>0</v>
      </c>
      <c r="J1225" s="743"/>
      <c r="K1225" s="869"/>
      <c r="L1225" s="749"/>
      <c r="M1225" s="869"/>
      <c r="N1225" s="749"/>
      <c r="O1225" s="749"/>
    </row>
    <row r="1226" spans="3:15">
      <c r="C1226" s="739">
        <f>IF(D1166="","-",+C1225+1)</f>
        <v>2078</v>
      </c>
      <c r="D1226" s="691">
        <f t="shared" si="72"/>
        <v>0</v>
      </c>
      <c r="E1226" s="746">
        <f t="shared" si="74"/>
        <v>0</v>
      </c>
      <c r="F1226" s="691">
        <f t="shared" si="75"/>
        <v>0</v>
      </c>
      <c r="G1226" s="1230">
        <f t="shared" si="76"/>
        <v>0</v>
      </c>
      <c r="H1226" s="1233">
        <f t="shared" si="77"/>
        <v>0</v>
      </c>
      <c r="I1226" s="743">
        <f t="shared" si="73"/>
        <v>0</v>
      </c>
      <c r="J1226" s="743"/>
      <c r="K1226" s="869"/>
      <c r="L1226" s="749"/>
      <c r="M1226" s="869"/>
      <c r="N1226" s="749"/>
      <c r="O1226" s="749"/>
    </row>
    <row r="1227" spans="3:15">
      <c r="C1227" s="739">
        <f>IF(D1166="","-",+C1226+1)</f>
        <v>2079</v>
      </c>
      <c r="D1227" s="691">
        <f t="shared" si="72"/>
        <v>0</v>
      </c>
      <c r="E1227" s="746">
        <f t="shared" si="74"/>
        <v>0</v>
      </c>
      <c r="F1227" s="691">
        <f t="shared" si="75"/>
        <v>0</v>
      </c>
      <c r="G1227" s="1230">
        <f t="shared" si="76"/>
        <v>0</v>
      </c>
      <c r="H1227" s="1233">
        <f t="shared" si="77"/>
        <v>0</v>
      </c>
      <c r="I1227" s="743">
        <f t="shared" si="73"/>
        <v>0</v>
      </c>
      <c r="J1227" s="743"/>
      <c r="K1227" s="869"/>
      <c r="L1227" s="749"/>
      <c r="M1227" s="869"/>
      <c r="N1227" s="749"/>
      <c r="O1227" s="749"/>
    </row>
    <row r="1228" spans="3:15">
      <c r="C1228" s="739">
        <f>IF(D1166="","-",+C1227+1)</f>
        <v>2080</v>
      </c>
      <c r="D1228" s="691">
        <f t="shared" si="72"/>
        <v>0</v>
      </c>
      <c r="E1228" s="746">
        <f t="shared" si="74"/>
        <v>0</v>
      </c>
      <c r="F1228" s="691">
        <f t="shared" si="75"/>
        <v>0</v>
      </c>
      <c r="G1228" s="1230">
        <f t="shared" si="76"/>
        <v>0</v>
      </c>
      <c r="H1228" s="1233">
        <f t="shared" si="77"/>
        <v>0</v>
      </c>
      <c r="I1228" s="743">
        <f t="shared" si="73"/>
        <v>0</v>
      </c>
      <c r="J1228" s="743"/>
      <c r="K1228" s="869"/>
      <c r="L1228" s="749"/>
      <c r="M1228" s="869"/>
      <c r="N1228" s="749"/>
      <c r="O1228" s="749"/>
    </row>
    <row r="1229" spans="3:15">
      <c r="C1229" s="739">
        <f>IF(D1166="","-",+C1228+1)</f>
        <v>2081</v>
      </c>
      <c r="D1229" s="691">
        <f t="shared" si="72"/>
        <v>0</v>
      </c>
      <c r="E1229" s="746">
        <f t="shared" si="74"/>
        <v>0</v>
      </c>
      <c r="F1229" s="691">
        <f t="shared" si="75"/>
        <v>0</v>
      </c>
      <c r="G1229" s="1230">
        <f t="shared" si="76"/>
        <v>0</v>
      </c>
      <c r="H1229" s="1233">
        <f t="shared" si="77"/>
        <v>0</v>
      </c>
      <c r="I1229" s="743">
        <f t="shared" si="73"/>
        <v>0</v>
      </c>
      <c r="J1229" s="743"/>
      <c r="K1229" s="869"/>
      <c r="L1229" s="749"/>
      <c r="M1229" s="869"/>
      <c r="N1229" s="749"/>
      <c r="O1229" s="749"/>
    </row>
    <row r="1230" spans="3:15">
      <c r="C1230" s="739">
        <f>IF(D1166="","-",+C1229+1)</f>
        <v>2082</v>
      </c>
      <c r="D1230" s="691">
        <f t="shared" si="72"/>
        <v>0</v>
      </c>
      <c r="E1230" s="746">
        <f t="shared" si="74"/>
        <v>0</v>
      </c>
      <c r="F1230" s="691">
        <f t="shared" si="75"/>
        <v>0</v>
      </c>
      <c r="G1230" s="1230">
        <f t="shared" si="76"/>
        <v>0</v>
      </c>
      <c r="H1230" s="1233">
        <f t="shared" si="77"/>
        <v>0</v>
      </c>
      <c r="I1230" s="743">
        <f t="shared" si="73"/>
        <v>0</v>
      </c>
      <c r="J1230" s="743"/>
      <c r="K1230" s="869"/>
      <c r="L1230" s="749"/>
      <c r="M1230" s="869"/>
      <c r="N1230" s="749"/>
      <c r="O1230" s="749"/>
    </row>
    <row r="1231" spans="3:15" ht="13.5" thickBot="1">
      <c r="C1231" s="750">
        <f>IF(D1166="","-",+C1230+1)</f>
        <v>2083</v>
      </c>
      <c r="D1231" s="751">
        <f t="shared" si="72"/>
        <v>0</v>
      </c>
      <c r="E1231" s="752">
        <f t="shared" si="74"/>
        <v>0</v>
      </c>
      <c r="F1231" s="1220">
        <f t="shared" si="75"/>
        <v>0</v>
      </c>
      <c r="G1231" s="1241">
        <f t="shared" si="76"/>
        <v>0</v>
      </c>
      <c r="H1231" s="1220">
        <f t="shared" si="77"/>
        <v>0</v>
      </c>
      <c r="I1231" s="754">
        <f t="shared" si="73"/>
        <v>0</v>
      </c>
      <c r="J1231" s="743"/>
      <c r="K1231" s="870"/>
      <c r="L1231" s="756"/>
      <c r="M1231" s="870"/>
      <c r="N1231" s="756"/>
      <c r="O1231" s="756"/>
    </row>
    <row r="1232" spans="3:15">
      <c r="C1232" s="691" t="s">
        <v>289</v>
      </c>
      <c r="D1232" s="1211"/>
      <c r="E1232" s="1211">
        <f>SUM(E1172:E1231)</f>
        <v>3594947.8099999996</v>
      </c>
      <c r="F1232" s="1211"/>
      <c r="G1232" s="1211">
        <f>SUM(G1172:G1231)</f>
        <v>11802433.981285043</v>
      </c>
      <c r="H1232" s="1211">
        <f>SUM(H1172:H1231)</f>
        <v>11802433.981285043</v>
      </c>
      <c r="I1232" s="1211">
        <f>SUM(I1172:I1231)</f>
        <v>0</v>
      </c>
      <c r="J1232" s="1211"/>
      <c r="K1232" s="1211"/>
      <c r="L1232" s="1211"/>
      <c r="M1232" s="1211"/>
      <c r="N1232" s="1211"/>
      <c r="O1232" s="558"/>
    </row>
    <row r="1233" spans="1:15">
      <c r="D1233" s="581"/>
      <c r="E1233" s="558"/>
      <c r="F1233" s="558"/>
      <c r="G1233" s="558"/>
      <c r="H1233" s="1210"/>
      <c r="I1233" s="1210"/>
      <c r="J1233" s="1211"/>
      <c r="K1233" s="1210"/>
      <c r="L1233" s="1210"/>
      <c r="M1233" s="1210"/>
      <c r="N1233" s="1210"/>
      <c r="O1233" s="558"/>
    </row>
    <row r="1234" spans="1:15">
      <c r="C1234" s="1242" t="s">
        <v>926</v>
      </c>
      <c r="D1234" s="581"/>
      <c r="E1234" s="558"/>
      <c r="F1234" s="558"/>
      <c r="G1234" s="558"/>
      <c r="H1234" s="1210"/>
      <c r="I1234" s="1210"/>
      <c r="J1234" s="1211"/>
      <c r="K1234" s="1210"/>
      <c r="L1234" s="1210"/>
      <c r="M1234" s="1210"/>
      <c r="N1234" s="1210"/>
      <c r="O1234" s="558"/>
    </row>
    <row r="1235" spans="1:15">
      <c r="D1235" s="581"/>
      <c r="E1235" s="558"/>
      <c r="F1235" s="558"/>
      <c r="G1235" s="558"/>
      <c r="H1235" s="1210"/>
      <c r="I1235" s="1210"/>
      <c r="J1235" s="1211"/>
      <c r="K1235" s="1210"/>
      <c r="L1235" s="1210"/>
      <c r="M1235" s="1210"/>
      <c r="N1235" s="1210"/>
      <c r="O1235" s="558"/>
    </row>
    <row r="1236" spans="1:15" ht="12.75" customHeight="1">
      <c r="C1236" s="704" t="s">
        <v>927</v>
      </c>
      <c r="D1236" s="691"/>
      <c r="E1236" s="691"/>
      <c r="F1236" s="691"/>
      <c r="G1236" s="1211"/>
      <c r="H1236" s="1211"/>
      <c r="I1236" s="692"/>
      <c r="J1236" s="692"/>
      <c r="K1236" s="692"/>
      <c r="L1236" s="692"/>
      <c r="M1236" s="692"/>
      <c r="N1236" s="692"/>
      <c r="O1236" s="558"/>
    </row>
    <row r="1237" spans="1:15">
      <c r="C1237" s="690" t="s">
        <v>477</v>
      </c>
      <c r="D1237" s="691"/>
      <c r="E1237" s="691"/>
      <c r="F1237" s="691"/>
      <c r="G1237" s="1211"/>
      <c r="H1237" s="1211"/>
      <c r="I1237" s="692"/>
      <c r="J1237" s="692"/>
      <c r="K1237" s="692"/>
      <c r="L1237" s="692"/>
      <c r="M1237" s="692"/>
      <c r="N1237" s="692"/>
      <c r="O1237" s="558"/>
    </row>
    <row r="1238" spans="1:15">
      <c r="C1238" s="690" t="s">
        <v>290</v>
      </c>
      <c r="D1238" s="691"/>
      <c r="E1238" s="691"/>
      <c r="F1238" s="691"/>
      <c r="G1238" s="1211"/>
      <c r="H1238" s="1211"/>
      <c r="I1238" s="692"/>
      <c r="J1238" s="692"/>
      <c r="K1238" s="692"/>
      <c r="L1238" s="692"/>
      <c r="M1238" s="692"/>
      <c r="N1238" s="692"/>
      <c r="O1238" s="558"/>
    </row>
    <row r="1239" spans="1:15">
      <c r="C1239" s="690"/>
      <c r="D1239" s="691"/>
      <c r="E1239" s="691"/>
      <c r="F1239" s="691"/>
      <c r="G1239" s="1211"/>
      <c r="H1239" s="1211"/>
      <c r="I1239" s="692"/>
      <c r="J1239" s="692"/>
      <c r="K1239" s="692"/>
      <c r="L1239" s="692"/>
      <c r="M1239" s="692"/>
      <c r="N1239" s="692"/>
      <c r="O1239" s="558"/>
    </row>
    <row r="1240" spans="1:15">
      <c r="C1240" s="1601" t="s">
        <v>461</v>
      </c>
      <c r="D1240" s="1601"/>
      <c r="E1240" s="1601"/>
      <c r="F1240" s="1601"/>
      <c r="G1240" s="1601"/>
      <c r="H1240" s="1601"/>
      <c r="I1240" s="1601"/>
      <c r="J1240" s="1601"/>
      <c r="K1240" s="1601"/>
      <c r="L1240" s="1601"/>
      <c r="M1240" s="1601"/>
      <c r="N1240" s="1601"/>
      <c r="O1240" s="1601"/>
    </row>
    <row r="1241" spans="1:15">
      <c r="C1241" s="1601"/>
      <c r="D1241" s="1601"/>
      <c r="E1241" s="1601"/>
      <c r="F1241" s="1601"/>
      <c r="G1241" s="1601"/>
      <c r="H1241" s="1601"/>
      <c r="I1241" s="1601"/>
      <c r="J1241" s="1601"/>
      <c r="K1241" s="1601"/>
      <c r="L1241" s="1601"/>
      <c r="M1241" s="1601"/>
      <c r="N1241" s="1601"/>
      <c r="O1241" s="1601"/>
    </row>
    <row r="1242" spans="1:15" ht="20.25">
      <c r="A1242" s="693" t="s">
        <v>923</v>
      </c>
      <c r="B1242" s="594"/>
      <c r="C1242" s="673"/>
      <c r="D1242" s="581"/>
      <c r="E1242" s="558"/>
      <c r="F1242" s="663"/>
      <c r="G1242" s="558"/>
      <c r="H1242" s="1210"/>
      <c r="K1242" s="694"/>
      <c r="L1242" s="694"/>
      <c r="M1242" s="694"/>
      <c r="N1242" s="609" t="str">
        <f>"Page "&amp;P1242&amp;" of "</f>
        <v xml:space="preserve">Page  of </v>
      </c>
      <c r="O1242" s="610">
        <f>COUNT(P$6:P$59527)</f>
        <v>10</v>
      </c>
    </row>
    <row r="1243" spans="1:15">
      <c r="B1243" s="594"/>
      <c r="C1243" s="558"/>
      <c r="D1243" s="581"/>
      <c r="E1243" s="558"/>
      <c r="F1243" s="558"/>
      <c r="G1243" s="558"/>
      <c r="H1243" s="1210"/>
      <c r="I1243" s="558"/>
      <c r="J1243" s="606"/>
      <c r="K1243" s="558"/>
      <c r="L1243" s="558"/>
      <c r="M1243" s="558"/>
      <c r="N1243" s="558"/>
      <c r="O1243" s="558"/>
    </row>
    <row r="1244" spans="1:15" ht="18">
      <c r="B1244" s="613" t="s">
        <v>175</v>
      </c>
      <c r="C1244" s="695" t="s">
        <v>291</v>
      </c>
      <c r="D1244" s="581"/>
      <c r="E1244" s="558"/>
      <c r="F1244" s="558"/>
      <c r="G1244" s="558"/>
      <c r="H1244" s="1210"/>
      <c r="I1244" s="1210"/>
      <c r="J1244" s="1211"/>
      <c r="K1244" s="1210"/>
      <c r="L1244" s="1210"/>
      <c r="M1244" s="1210"/>
      <c r="N1244" s="1210"/>
      <c r="O1244" s="558"/>
    </row>
    <row r="1245" spans="1:15" ht="18.75">
      <c r="B1245" s="613"/>
      <c r="C1245" s="612"/>
      <c r="D1245" s="581"/>
      <c r="E1245" s="558"/>
      <c r="F1245" s="558"/>
      <c r="G1245" s="558"/>
      <c r="H1245" s="1210"/>
      <c r="I1245" s="1210"/>
      <c r="J1245" s="1211"/>
      <c r="K1245" s="1210"/>
      <c r="L1245" s="1210"/>
      <c r="M1245" s="1210"/>
      <c r="N1245" s="1210"/>
      <c r="O1245" s="558"/>
    </row>
    <row r="1246" spans="1:15" ht="18.75">
      <c r="B1246" s="613"/>
      <c r="C1246" s="612" t="s">
        <v>292</v>
      </c>
      <c r="D1246" s="581"/>
      <c r="E1246" s="558"/>
      <c r="F1246" s="558"/>
      <c r="G1246" s="558"/>
      <c r="H1246" s="1210"/>
      <c r="I1246" s="1210"/>
      <c r="J1246" s="1211"/>
      <c r="K1246" s="1210"/>
      <c r="L1246" s="1210"/>
      <c r="M1246" s="1210"/>
      <c r="N1246" s="1210"/>
      <c r="O1246" s="558"/>
    </row>
    <row r="1247" spans="1:15" ht="15.75" thickBot="1">
      <c r="C1247" s="411"/>
      <c r="D1247" s="581"/>
      <c r="E1247" s="558"/>
      <c r="F1247" s="558"/>
      <c r="G1247" s="558"/>
      <c r="H1247" s="1210"/>
      <c r="I1247" s="1210"/>
      <c r="J1247" s="1211"/>
      <c r="K1247" s="1210"/>
      <c r="L1247" s="1210"/>
      <c r="M1247" s="1210"/>
      <c r="N1247" s="1210"/>
      <c r="O1247" s="558"/>
    </row>
    <row r="1248" spans="1:15" ht="15.75">
      <c r="C1248" s="614" t="s">
        <v>293</v>
      </c>
      <c r="D1248" s="581"/>
      <c r="E1248" s="558"/>
      <c r="F1248" s="558"/>
      <c r="G1248" s="1212"/>
      <c r="H1248" s="558" t="s">
        <v>272</v>
      </c>
      <c r="I1248" s="558"/>
      <c r="J1248" s="606"/>
      <c r="K1248" s="696" t="s">
        <v>297</v>
      </c>
      <c r="L1248" s="697"/>
      <c r="M1248" s="698"/>
      <c r="N1248" s="1213">
        <f>VLOOKUP(I1254,C1261:O1320,5)</f>
        <v>0</v>
      </c>
      <c r="O1248" s="558"/>
    </row>
    <row r="1249" spans="1:15" ht="15.75">
      <c r="C1249" s="614"/>
      <c r="D1249" s="581"/>
      <c r="E1249" s="558"/>
      <c r="F1249" s="558"/>
      <c r="G1249" s="558"/>
      <c r="H1249" s="1214"/>
      <c r="I1249" s="1214"/>
      <c r="J1249" s="1215"/>
      <c r="K1249" s="701" t="s">
        <v>298</v>
      </c>
      <c r="L1249" s="1216"/>
      <c r="M1249" s="606"/>
      <c r="N1249" s="1217">
        <f>VLOOKUP(I1254,C1261:O1320,6)</f>
        <v>0</v>
      </c>
      <c r="O1249" s="558"/>
    </row>
    <row r="1250" spans="1:15" ht="13.5" thickBot="1">
      <c r="C1250" s="702" t="s">
        <v>294</v>
      </c>
      <c r="D1250" s="1610" t="s">
        <v>1150</v>
      </c>
      <c r="E1250" s="1611"/>
      <c r="F1250" s="1611"/>
      <c r="G1250" s="1611"/>
      <c r="H1250" s="1611"/>
      <c r="I1250" s="1611"/>
      <c r="J1250" s="1211"/>
      <c r="K1250" s="1218" t="s">
        <v>451</v>
      </c>
      <c r="L1250" s="1219"/>
      <c r="M1250" s="1219"/>
      <c r="N1250" s="1220">
        <f>+N1249-N1248</f>
        <v>0</v>
      </c>
      <c r="O1250" s="558"/>
    </row>
    <row r="1251" spans="1:15">
      <c r="C1251" s="704"/>
      <c r="D1251" s="1611"/>
      <c r="E1251" s="1611"/>
      <c r="F1251" s="1611"/>
      <c r="G1251" s="1611"/>
      <c r="H1251" s="1611"/>
      <c r="I1251" s="1611"/>
      <c r="J1251" s="1211"/>
      <c r="K1251" s="1210"/>
      <c r="L1251" s="1210"/>
      <c r="M1251" s="1210"/>
      <c r="N1251" s="1210"/>
      <c r="O1251" s="558"/>
    </row>
    <row r="1252" spans="1:15" ht="13.5" thickBot="1">
      <c r="C1252" s="707"/>
      <c r="D1252" s="708"/>
      <c r="E1252" s="706"/>
      <c r="F1252" s="706"/>
      <c r="G1252" s="706"/>
      <c r="H1252" s="706"/>
      <c r="I1252" s="706"/>
      <c r="J1252" s="1351"/>
      <c r="K1252" s="706"/>
      <c r="L1252" s="706"/>
      <c r="M1252" s="706"/>
      <c r="N1252" s="706"/>
      <c r="O1252" s="594"/>
    </row>
    <row r="1253" spans="1:15" ht="13.5" thickBot="1">
      <c r="C1253" s="710" t="s">
        <v>295</v>
      </c>
      <c r="D1253" s="711"/>
      <c r="E1253" s="711"/>
      <c r="F1253" s="711"/>
      <c r="G1253" s="711"/>
      <c r="H1253" s="711"/>
      <c r="I1253" s="712"/>
      <c r="J1253" s="713"/>
      <c r="K1253" s="558"/>
      <c r="L1253" s="558"/>
      <c r="M1253" s="558"/>
      <c r="N1253" s="558"/>
      <c r="O1253" s="714"/>
    </row>
    <row r="1254" spans="1:15" ht="15">
      <c r="C1254" s="716" t="s">
        <v>273</v>
      </c>
      <c r="D1254" s="1221">
        <v>0</v>
      </c>
      <c r="E1254" s="673" t="s">
        <v>274</v>
      </c>
      <c r="G1254" s="717"/>
      <c r="H1254" s="717"/>
      <c r="I1254" s="718">
        <f>I1165</f>
        <v>2025</v>
      </c>
      <c r="J1254" s="604"/>
      <c r="K1254" s="1600" t="s">
        <v>460</v>
      </c>
      <c r="L1254" s="1600"/>
      <c r="M1254" s="1600"/>
      <c r="N1254" s="1600"/>
      <c r="O1254" s="1600"/>
    </row>
    <row r="1255" spans="1:15">
      <c r="C1255" s="716" t="s">
        <v>276</v>
      </c>
      <c r="D1255" s="864">
        <v>2024</v>
      </c>
      <c r="E1255" s="716" t="s">
        <v>277</v>
      </c>
      <c r="F1255" s="717"/>
      <c r="H1255" s="345"/>
      <c r="I1255" s="867">
        <f>IF(G1248="",0,$F$15)</f>
        <v>0</v>
      </c>
      <c r="J1255" s="719"/>
      <c r="K1255" s="1211" t="s">
        <v>460</v>
      </c>
    </row>
    <row r="1256" spans="1:15">
      <c r="C1256" s="716" t="s">
        <v>278</v>
      </c>
      <c r="D1256" s="1221">
        <v>4</v>
      </c>
      <c r="E1256" s="716" t="s">
        <v>279</v>
      </c>
      <c r="F1256" s="717"/>
      <c r="H1256" s="345"/>
      <c r="I1256" s="720">
        <f>$G$70</f>
        <v>0.11808937687765908</v>
      </c>
      <c r="J1256" s="721"/>
      <c r="K1256" s="345" t="str">
        <f>"          INPUT PROJECTED ARR (WITH &amp; WITHOUT INCENTIVES) FROM EACH PRIOR YEAR"</f>
        <v xml:space="preserve">          INPUT PROJECTED ARR (WITH &amp; WITHOUT INCENTIVES) FROM EACH PRIOR YEAR</v>
      </c>
    </row>
    <row r="1257" spans="1:15">
      <c r="C1257" s="716" t="s">
        <v>280</v>
      </c>
      <c r="D1257" s="722">
        <f>G$79</f>
        <v>38</v>
      </c>
      <c r="E1257" s="716" t="s">
        <v>281</v>
      </c>
      <c r="F1257" s="717"/>
      <c r="H1257" s="345"/>
      <c r="I1257" s="720">
        <f>IF(G1248="",I1256,$G$67)</f>
        <v>0.11808937687765908</v>
      </c>
      <c r="J1257" s="723"/>
      <c r="K1257" s="345" t="s">
        <v>358</v>
      </c>
    </row>
    <row r="1258" spans="1:15" ht="13.5" thickBot="1">
      <c r="C1258" s="716" t="s">
        <v>282</v>
      </c>
      <c r="D1258" s="866" t="s">
        <v>925</v>
      </c>
      <c r="E1258" s="724" t="s">
        <v>283</v>
      </c>
      <c r="F1258" s="725"/>
      <c r="G1258" s="726"/>
      <c r="H1258" s="726"/>
      <c r="I1258" s="1220">
        <f>IF(D1254=0,0,D1254/D1257)</f>
        <v>0</v>
      </c>
      <c r="J1258" s="1211"/>
      <c r="K1258" s="1211" t="s">
        <v>364</v>
      </c>
      <c r="L1258" s="1211"/>
      <c r="M1258" s="1211"/>
      <c r="N1258" s="1211"/>
      <c r="O1258" s="606"/>
    </row>
    <row r="1259" spans="1:15" ht="51">
      <c r="A1259" s="1350"/>
      <c r="B1259" s="1222"/>
      <c r="C1259" s="727" t="s">
        <v>273</v>
      </c>
      <c r="D1259" s="1223" t="s">
        <v>284</v>
      </c>
      <c r="E1259" s="1224" t="s">
        <v>285</v>
      </c>
      <c r="F1259" s="1223" t="s">
        <v>286</v>
      </c>
      <c r="G1259" s="1224" t="s">
        <v>357</v>
      </c>
      <c r="H1259" s="1225" t="s">
        <v>357</v>
      </c>
      <c r="I1259" s="727" t="s">
        <v>296</v>
      </c>
      <c r="J1259" s="731"/>
      <c r="K1259" s="1224" t="s">
        <v>366</v>
      </c>
      <c r="L1259" s="1226"/>
      <c r="M1259" s="1224" t="s">
        <v>366</v>
      </c>
      <c r="N1259" s="1226"/>
      <c r="O1259" s="1226"/>
    </row>
    <row r="1260" spans="1:15" ht="13.5" thickBot="1">
      <c r="C1260" s="733" t="s">
        <v>178</v>
      </c>
      <c r="D1260" s="734" t="s">
        <v>179</v>
      </c>
      <c r="E1260" s="733" t="s">
        <v>38</v>
      </c>
      <c r="F1260" s="734" t="s">
        <v>179</v>
      </c>
      <c r="G1260" s="1227" t="s">
        <v>299</v>
      </c>
      <c r="H1260" s="1228" t="s">
        <v>301</v>
      </c>
      <c r="I1260" s="737" t="s">
        <v>390</v>
      </c>
      <c r="J1260" s="738"/>
      <c r="K1260" s="1227" t="s">
        <v>288</v>
      </c>
      <c r="L1260" s="1229"/>
      <c r="M1260" s="1227" t="s">
        <v>301</v>
      </c>
      <c r="N1260" s="1229"/>
      <c r="O1260" s="1229"/>
    </row>
    <row r="1261" spans="1:15">
      <c r="C1261" s="739">
        <f>IF(D1255= "","-",D1255)</f>
        <v>2024</v>
      </c>
      <c r="D1261" s="691">
        <f>+D1254</f>
        <v>0</v>
      </c>
      <c r="E1261" s="1230">
        <f>+I1258/12*(12-D1256)</f>
        <v>0</v>
      </c>
      <c r="F1261" s="691">
        <f>+D1261-E1261</f>
        <v>0</v>
      </c>
      <c r="G1261" s="1231">
        <f>+$I$810*((D1261+F1261)/2)+E1261</f>
        <v>0</v>
      </c>
      <c r="H1261" s="1232">
        <f>+$I$811*((D1261+F1261)/2)+E1261</f>
        <v>0</v>
      </c>
      <c r="I1261" s="743">
        <f>+H1261-G1261</f>
        <v>0</v>
      </c>
      <c r="J1261" s="743"/>
      <c r="K1261" s="869">
        <v>172.24511792034932</v>
      </c>
      <c r="L1261" s="745"/>
      <c r="M1261" s="869">
        <v>172.24511792034932</v>
      </c>
      <c r="N1261" s="745"/>
      <c r="O1261" s="745"/>
    </row>
    <row r="1262" spans="1:15">
      <c r="C1262" s="739">
        <f>IF(D1255="","-",+C1261+1)</f>
        <v>2025</v>
      </c>
      <c r="D1262" s="691">
        <f t="shared" ref="D1262:D1320" si="78">F1261</f>
        <v>0</v>
      </c>
      <c r="E1262" s="746">
        <f>IF(D1262&gt;$I$1258,$I$1258,D1262)</f>
        <v>0</v>
      </c>
      <c r="F1262" s="691">
        <f>+D1262-E1262</f>
        <v>0</v>
      </c>
      <c r="G1262" s="1230">
        <f>+$I$810*((D1262+F1262)/2)+E1262</f>
        <v>0</v>
      </c>
      <c r="H1262" s="1233">
        <f>+$I$810*((D1262+F1262)/2)+E1262</f>
        <v>0</v>
      </c>
      <c r="I1262" s="743">
        <f t="shared" ref="I1262:I1320" si="79">+H1262-G1262</f>
        <v>0</v>
      </c>
      <c r="J1262" s="743"/>
      <c r="K1262" s="869">
        <v>0</v>
      </c>
      <c r="L1262" s="749"/>
      <c r="M1262" s="869">
        <v>0</v>
      </c>
      <c r="N1262" s="749"/>
      <c r="O1262" s="749"/>
    </row>
    <row r="1263" spans="1:15">
      <c r="C1263" s="1247">
        <f>IF(D1255="","-",+C1262+1)</f>
        <v>2026</v>
      </c>
      <c r="D1263" s="1235">
        <f t="shared" si="78"/>
        <v>0</v>
      </c>
      <c r="E1263" s="746">
        <f t="shared" ref="E1263:E1320" si="80">IF(D1263&gt;$I$1258,$I$1258,D1263)</f>
        <v>0</v>
      </c>
      <c r="F1263" s="691">
        <f t="shared" ref="F1263:F1320" si="81">+D1263-E1263</f>
        <v>0</v>
      </c>
      <c r="G1263" s="1230">
        <f t="shared" ref="G1263:G1320" si="82">+$I$810*((D1263+F1263)/2)+E1263</f>
        <v>0</v>
      </c>
      <c r="H1263" s="1233">
        <f t="shared" ref="H1263:H1320" si="83">+$I$810*((D1263+F1263)/2)+E1263</f>
        <v>0</v>
      </c>
      <c r="I1263" s="1239">
        <f t="shared" si="79"/>
        <v>0</v>
      </c>
      <c r="J1263" s="743"/>
      <c r="K1263" s="869"/>
      <c r="L1263" s="749"/>
      <c r="M1263" s="869"/>
      <c r="N1263" s="749"/>
      <c r="O1263" s="749"/>
    </row>
    <row r="1264" spans="1:15">
      <c r="C1264" s="739">
        <f>IF(D1255="","-",+C1263+1)</f>
        <v>2027</v>
      </c>
      <c r="D1264" s="691">
        <f t="shared" si="78"/>
        <v>0</v>
      </c>
      <c r="E1264" s="746">
        <f t="shared" si="80"/>
        <v>0</v>
      </c>
      <c r="F1264" s="691">
        <f t="shared" si="81"/>
        <v>0</v>
      </c>
      <c r="G1264" s="1230">
        <f t="shared" si="82"/>
        <v>0</v>
      </c>
      <c r="H1264" s="1233">
        <f t="shared" si="83"/>
        <v>0</v>
      </c>
      <c r="I1264" s="743">
        <f t="shared" si="79"/>
        <v>0</v>
      </c>
      <c r="J1264" s="743"/>
      <c r="K1264" s="869"/>
      <c r="L1264" s="749"/>
      <c r="M1264" s="869"/>
      <c r="N1264" s="749"/>
      <c r="O1264" s="749"/>
    </row>
    <row r="1265" spans="3:15">
      <c r="C1265" s="739">
        <f>IF(D1255="","-",+C1264+1)</f>
        <v>2028</v>
      </c>
      <c r="D1265" s="691">
        <f t="shared" si="78"/>
        <v>0</v>
      </c>
      <c r="E1265" s="746">
        <f t="shared" si="80"/>
        <v>0</v>
      </c>
      <c r="F1265" s="691">
        <f t="shared" si="81"/>
        <v>0</v>
      </c>
      <c r="G1265" s="1230">
        <f t="shared" si="82"/>
        <v>0</v>
      </c>
      <c r="H1265" s="1233">
        <f t="shared" si="83"/>
        <v>0</v>
      </c>
      <c r="I1265" s="743">
        <f t="shared" si="79"/>
        <v>0</v>
      </c>
      <c r="J1265" s="743"/>
      <c r="K1265" s="869"/>
      <c r="L1265" s="749"/>
      <c r="M1265" s="869"/>
      <c r="N1265" s="749"/>
      <c r="O1265" s="749"/>
    </row>
    <row r="1266" spans="3:15">
      <c r="C1266" s="739">
        <f>IF(D1255="","-",+C1265+1)</f>
        <v>2029</v>
      </c>
      <c r="D1266" s="691">
        <f t="shared" si="78"/>
        <v>0</v>
      </c>
      <c r="E1266" s="746">
        <f t="shared" si="80"/>
        <v>0</v>
      </c>
      <c r="F1266" s="691">
        <f t="shared" si="81"/>
        <v>0</v>
      </c>
      <c r="G1266" s="1230">
        <f t="shared" si="82"/>
        <v>0</v>
      </c>
      <c r="H1266" s="1233">
        <f t="shared" si="83"/>
        <v>0</v>
      </c>
      <c r="I1266" s="743">
        <f t="shared" si="79"/>
        <v>0</v>
      </c>
      <c r="J1266" s="743"/>
      <c r="K1266" s="869"/>
      <c r="L1266" s="749"/>
      <c r="M1266" s="869"/>
      <c r="N1266" s="749"/>
      <c r="O1266" s="749"/>
    </row>
    <row r="1267" spans="3:15">
      <c r="C1267" s="739">
        <f>IF(D1255="","-",+C1266+1)</f>
        <v>2030</v>
      </c>
      <c r="D1267" s="691">
        <f t="shared" si="78"/>
        <v>0</v>
      </c>
      <c r="E1267" s="746">
        <f t="shared" si="80"/>
        <v>0</v>
      </c>
      <c r="F1267" s="691">
        <f t="shared" si="81"/>
        <v>0</v>
      </c>
      <c r="G1267" s="1230">
        <f t="shared" si="82"/>
        <v>0</v>
      </c>
      <c r="H1267" s="1233">
        <f t="shared" si="83"/>
        <v>0</v>
      </c>
      <c r="I1267" s="743">
        <f t="shared" si="79"/>
        <v>0</v>
      </c>
      <c r="J1267" s="743"/>
      <c r="K1267" s="869"/>
      <c r="L1267" s="749"/>
      <c r="M1267" s="869"/>
      <c r="N1267" s="749"/>
      <c r="O1267" s="749"/>
    </row>
    <row r="1268" spans="3:15">
      <c r="C1268" s="739">
        <f>IF(D1255="","-",+C1267+1)</f>
        <v>2031</v>
      </c>
      <c r="D1268" s="691">
        <f t="shared" si="78"/>
        <v>0</v>
      </c>
      <c r="E1268" s="746">
        <f t="shared" si="80"/>
        <v>0</v>
      </c>
      <c r="F1268" s="691">
        <f t="shared" si="81"/>
        <v>0</v>
      </c>
      <c r="G1268" s="1230">
        <f t="shared" si="82"/>
        <v>0</v>
      </c>
      <c r="H1268" s="1233">
        <f t="shared" si="83"/>
        <v>0</v>
      </c>
      <c r="I1268" s="743">
        <f t="shared" si="79"/>
        <v>0</v>
      </c>
      <c r="J1268" s="743"/>
      <c r="K1268" s="869"/>
      <c r="L1268" s="749"/>
      <c r="M1268" s="869"/>
      <c r="N1268" s="749"/>
      <c r="O1268" s="749"/>
    </row>
    <row r="1269" spans="3:15">
      <c r="C1269" s="739">
        <f>IF(D1255="","-",+C1268+1)</f>
        <v>2032</v>
      </c>
      <c r="D1269" s="691">
        <f t="shared" si="78"/>
        <v>0</v>
      </c>
      <c r="E1269" s="746">
        <f t="shared" si="80"/>
        <v>0</v>
      </c>
      <c r="F1269" s="691">
        <f t="shared" si="81"/>
        <v>0</v>
      </c>
      <c r="G1269" s="1230">
        <f t="shared" si="82"/>
        <v>0</v>
      </c>
      <c r="H1269" s="1233">
        <f t="shared" si="83"/>
        <v>0</v>
      </c>
      <c r="I1269" s="743">
        <f t="shared" si="79"/>
        <v>0</v>
      </c>
      <c r="J1269" s="743"/>
      <c r="K1269" s="869"/>
      <c r="L1269" s="749"/>
      <c r="M1269" s="869"/>
      <c r="N1269" s="749"/>
      <c r="O1269" s="749"/>
    </row>
    <row r="1270" spans="3:15">
      <c r="C1270" s="739">
        <f>IF(D1255="","-",+C1269+1)</f>
        <v>2033</v>
      </c>
      <c r="D1270" s="691">
        <f t="shared" si="78"/>
        <v>0</v>
      </c>
      <c r="E1270" s="746">
        <f t="shared" si="80"/>
        <v>0</v>
      </c>
      <c r="F1270" s="691">
        <f t="shared" si="81"/>
        <v>0</v>
      </c>
      <c r="G1270" s="1230">
        <f t="shared" si="82"/>
        <v>0</v>
      </c>
      <c r="H1270" s="1233">
        <f t="shared" si="83"/>
        <v>0</v>
      </c>
      <c r="I1270" s="743">
        <f t="shared" si="79"/>
        <v>0</v>
      </c>
      <c r="J1270" s="743"/>
      <c r="K1270" s="869"/>
      <c r="L1270" s="749"/>
      <c r="M1270" s="869"/>
      <c r="N1270" s="749"/>
      <c r="O1270" s="749"/>
    </row>
    <row r="1271" spans="3:15">
      <c r="C1271" s="739">
        <f>IF(D1255="","-",+C1270+1)</f>
        <v>2034</v>
      </c>
      <c r="D1271" s="691">
        <f t="shared" si="78"/>
        <v>0</v>
      </c>
      <c r="E1271" s="746">
        <f t="shared" si="80"/>
        <v>0</v>
      </c>
      <c r="F1271" s="691">
        <f t="shared" si="81"/>
        <v>0</v>
      </c>
      <c r="G1271" s="1230">
        <f t="shared" si="82"/>
        <v>0</v>
      </c>
      <c r="H1271" s="1233">
        <f t="shared" si="83"/>
        <v>0</v>
      </c>
      <c r="I1271" s="743">
        <f t="shared" si="79"/>
        <v>0</v>
      </c>
      <c r="J1271" s="743"/>
      <c r="K1271" s="869"/>
      <c r="L1271" s="749"/>
      <c r="M1271" s="869"/>
      <c r="N1271" s="749"/>
      <c r="O1271" s="749"/>
    </row>
    <row r="1272" spans="3:15">
      <c r="C1272" s="739">
        <f>IF(D1255="","-",+C1271+1)</f>
        <v>2035</v>
      </c>
      <c r="D1272" s="691">
        <f t="shared" si="78"/>
        <v>0</v>
      </c>
      <c r="E1272" s="746">
        <f t="shared" si="80"/>
        <v>0</v>
      </c>
      <c r="F1272" s="691">
        <f t="shared" si="81"/>
        <v>0</v>
      </c>
      <c r="G1272" s="1230">
        <f t="shared" si="82"/>
        <v>0</v>
      </c>
      <c r="H1272" s="1233">
        <f t="shared" si="83"/>
        <v>0</v>
      </c>
      <c r="I1272" s="743">
        <f t="shared" si="79"/>
        <v>0</v>
      </c>
      <c r="J1272" s="743"/>
      <c r="K1272" s="869"/>
      <c r="L1272" s="749"/>
      <c r="M1272" s="869"/>
      <c r="N1272" s="749"/>
      <c r="O1272" s="749"/>
    </row>
    <row r="1273" spans="3:15">
      <c r="C1273" s="739">
        <f>IF(D1255="","-",+C1272+1)</f>
        <v>2036</v>
      </c>
      <c r="D1273" s="691">
        <f t="shared" si="78"/>
        <v>0</v>
      </c>
      <c r="E1273" s="746">
        <f t="shared" si="80"/>
        <v>0</v>
      </c>
      <c r="F1273" s="691">
        <f t="shared" si="81"/>
        <v>0</v>
      </c>
      <c r="G1273" s="1230">
        <f t="shared" si="82"/>
        <v>0</v>
      </c>
      <c r="H1273" s="1233">
        <f t="shared" si="83"/>
        <v>0</v>
      </c>
      <c r="I1273" s="743">
        <f t="shared" si="79"/>
        <v>0</v>
      </c>
      <c r="J1273" s="743"/>
      <c r="K1273" s="869"/>
      <c r="L1273" s="749"/>
      <c r="M1273" s="869"/>
      <c r="N1273" s="749"/>
      <c r="O1273" s="749"/>
    </row>
    <row r="1274" spans="3:15">
      <c r="C1274" s="739">
        <f>IF(D1255="","-",+C1273+1)</f>
        <v>2037</v>
      </c>
      <c r="D1274" s="691">
        <f t="shared" si="78"/>
        <v>0</v>
      </c>
      <c r="E1274" s="746">
        <f t="shared" si="80"/>
        <v>0</v>
      </c>
      <c r="F1274" s="691">
        <f t="shared" si="81"/>
        <v>0</v>
      </c>
      <c r="G1274" s="1230">
        <f t="shared" si="82"/>
        <v>0</v>
      </c>
      <c r="H1274" s="1233">
        <f t="shared" si="83"/>
        <v>0</v>
      </c>
      <c r="I1274" s="743">
        <f t="shared" si="79"/>
        <v>0</v>
      </c>
      <c r="J1274" s="743"/>
      <c r="K1274" s="869"/>
      <c r="L1274" s="749"/>
      <c r="M1274" s="869"/>
      <c r="N1274" s="749"/>
      <c r="O1274" s="749"/>
    </row>
    <row r="1275" spans="3:15">
      <c r="C1275" s="739">
        <f>IF(D1255="","-",+C1274+1)</f>
        <v>2038</v>
      </c>
      <c r="D1275" s="691">
        <f t="shared" si="78"/>
        <v>0</v>
      </c>
      <c r="E1275" s="746">
        <f t="shared" si="80"/>
        <v>0</v>
      </c>
      <c r="F1275" s="691">
        <f t="shared" si="81"/>
        <v>0</v>
      </c>
      <c r="G1275" s="1230">
        <f t="shared" si="82"/>
        <v>0</v>
      </c>
      <c r="H1275" s="1233">
        <f t="shared" si="83"/>
        <v>0</v>
      </c>
      <c r="I1275" s="743">
        <f t="shared" si="79"/>
        <v>0</v>
      </c>
      <c r="J1275" s="743"/>
      <c r="K1275" s="869"/>
      <c r="L1275" s="749"/>
      <c r="M1275" s="869"/>
      <c r="N1275" s="749"/>
      <c r="O1275" s="749"/>
    </row>
    <row r="1276" spans="3:15">
      <c r="C1276" s="739">
        <f>IF(D1255="","-",+C1275+1)</f>
        <v>2039</v>
      </c>
      <c r="D1276" s="691">
        <f t="shared" si="78"/>
        <v>0</v>
      </c>
      <c r="E1276" s="746">
        <f t="shared" si="80"/>
        <v>0</v>
      </c>
      <c r="F1276" s="691">
        <f t="shared" si="81"/>
        <v>0</v>
      </c>
      <c r="G1276" s="1230">
        <f t="shared" si="82"/>
        <v>0</v>
      </c>
      <c r="H1276" s="1233">
        <f t="shared" si="83"/>
        <v>0</v>
      </c>
      <c r="I1276" s="743">
        <f t="shared" si="79"/>
        <v>0</v>
      </c>
      <c r="J1276" s="743"/>
      <c r="K1276" s="869"/>
      <c r="L1276" s="749"/>
      <c r="M1276" s="869"/>
      <c r="N1276" s="749"/>
      <c r="O1276" s="749"/>
    </row>
    <row r="1277" spans="3:15">
      <c r="C1277" s="739">
        <f>IF(D1255="","-",+C1276+1)</f>
        <v>2040</v>
      </c>
      <c r="D1277" s="691">
        <f t="shared" si="78"/>
        <v>0</v>
      </c>
      <c r="E1277" s="746">
        <f t="shared" si="80"/>
        <v>0</v>
      </c>
      <c r="F1277" s="691">
        <f t="shared" si="81"/>
        <v>0</v>
      </c>
      <c r="G1277" s="1230">
        <f t="shared" si="82"/>
        <v>0</v>
      </c>
      <c r="H1277" s="1233">
        <f t="shared" si="83"/>
        <v>0</v>
      </c>
      <c r="I1277" s="743">
        <f t="shared" si="79"/>
        <v>0</v>
      </c>
      <c r="J1277" s="743"/>
      <c r="K1277" s="869"/>
      <c r="L1277" s="749"/>
      <c r="M1277" s="869"/>
      <c r="N1277" s="749"/>
      <c r="O1277" s="749"/>
    </row>
    <row r="1278" spans="3:15">
      <c r="C1278" s="739">
        <f>IF(D1255="","-",+C1277+1)</f>
        <v>2041</v>
      </c>
      <c r="D1278" s="691">
        <f t="shared" si="78"/>
        <v>0</v>
      </c>
      <c r="E1278" s="746">
        <f t="shared" si="80"/>
        <v>0</v>
      </c>
      <c r="F1278" s="691">
        <f t="shared" si="81"/>
        <v>0</v>
      </c>
      <c r="G1278" s="1230">
        <f t="shared" si="82"/>
        <v>0</v>
      </c>
      <c r="H1278" s="1233">
        <f t="shared" si="83"/>
        <v>0</v>
      </c>
      <c r="I1278" s="743">
        <f t="shared" si="79"/>
        <v>0</v>
      </c>
      <c r="J1278" s="743"/>
      <c r="K1278" s="869"/>
      <c r="L1278" s="749"/>
      <c r="M1278" s="869"/>
      <c r="N1278" s="749"/>
      <c r="O1278" s="749"/>
    </row>
    <row r="1279" spans="3:15">
      <c r="C1279" s="739">
        <f>IF(D1255="","-",+C1278+1)</f>
        <v>2042</v>
      </c>
      <c r="D1279" s="691">
        <f t="shared" si="78"/>
        <v>0</v>
      </c>
      <c r="E1279" s="746">
        <f t="shared" si="80"/>
        <v>0</v>
      </c>
      <c r="F1279" s="691">
        <f t="shared" si="81"/>
        <v>0</v>
      </c>
      <c r="G1279" s="1230">
        <f t="shared" si="82"/>
        <v>0</v>
      </c>
      <c r="H1279" s="1233">
        <f t="shared" si="83"/>
        <v>0</v>
      </c>
      <c r="I1279" s="743">
        <f t="shared" si="79"/>
        <v>0</v>
      </c>
      <c r="J1279" s="743"/>
      <c r="K1279" s="869"/>
      <c r="L1279" s="749"/>
      <c r="M1279" s="869"/>
      <c r="N1279" s="749"/>
      <c r="O1279" s="749"/>
    </row>
    <row r="1280" spans="3:15">
      <c r="C1280" s="739">
        <f>IF(D1255="","-",+C1279+1)</f>
        <v>2043</v>
      </c>
      <c r="D1280" s="691">
        <f t="shared" si="78"/>
        <v>0</v>
      </c>
      <c r="E1280" s="746">
        <f t="shared" si="80"/>
        <v>0</v>
      </c>
      <c r="F1280" s="691">
        <f t="shared" si="81"/>
        <v>0</v>
      </c>
      <c r="G1280" s="1230">
        <f t="shared" si="82"/>
        <v>0</v>
      </c>
      <c r="H1280" s="1233">
        <f t="shared" si="83"/>
        <v>0</v>
      </c>
      <c r="I1280" s="743">
        <f t="shared" si="79"/>
        <v>0</v>
      </c>
      <c r="J1280" s="743"/>
      <c r="K1280" s="869"/>
      <c r="L1280" s="749"/>
      <c r="M1280" s="869"/>
      <c r="N1280" s="749"/>
      <c r="O1280" s="749"/>
    </row>
    <row r="1281" spans="3:15">
      <c r="C1281" s="739">
        <f>IF(D1255="","-",+C1280+1)</f>
        <v>2044</v>
      </c>
      <c r="D1281" s="691">
        <f t="shared" si="78"/>
        <v>0</v>
      </c>
      <c r="E1281" s="746">
        <f t="shared" si="80"/>
        <v>0</v>
      </c>
      <c r="F1281" s="691">
        <f t="shared" si="81"/>
        <v>0</v>
      </c>
      <c r="G1281" s="1230">
        <f t="shared" si="82"/>
        <v>0</v>
      </c>
      <c r="H1281" s="1233">
        <f t="shared" si="83"/>
        <v>0</v>
      </c>
      <c r="I1281" s="743">
        <f t="shared" si="79"/>
        <v>0</v>
      </c>
      <c r="J1281" s="743"/>
      <c r="K1281" s="869"/>
      <c r="L1281" s="749"/>
      <c r="M1281" s="869"/>
      <c r="N1281" s="749"/>
      <c r="O1281" s="749"/>
    </row>
    <row r="1282" spans="3:15">
      <c r="C1282" s="739">
        <f>IF(D1255="","-",+C1281+1)</f>
        <v>2045</v>
      </c>
      <c r="D1282" s="691">
        <f t="shared" si="78"/>
        <v>0</v>
      </c>
      <c r="E1282" s="746">
        <f t="shared" si="80"/>
        <v>0</v>
      </c>
      <c r="F1282" s="691">
        <f t="shared" si="81"/>
        <v>0</v>
      </c>
      <c r="G1282" s="1230">
        <f t="shared" si="82"/>
        <v>0</v>
      </c>
      <c r="H1282" s="1233">
        <f t="shared" si="83"/>
        <v>0</v>
      </c>
      <c r="I1282" s="743">
        <f t="shared" si="79"/>
        <v>0</v>
      </c>
      <c r="J1282" s="743"/>
      <c r="K1282" s="869"/>
      <c r="L1282" s="749"/>
      <c r="M1282" s="869"/>
      <c r="N1282" s="749"/>
      <c r="O1282" s="749"/>
    </row>
    <row r="1283" spans="3:15">
      <c r="C1283" s="739">
        <f>IF(D1255="","-",+C1282+1)</f>
        <v>2046</v>
      </c>
      <c r="D1283" s="691">
        <f t="shared" si="78"/>
        <v>0</v>
      </c>
      <c r="E1283" s="746">
        <f t="shared" si="80"/>
        <v>0</v>
      </c>
      <c r="F1283" s="691">
        <f t="shared" si="81"/>
        <v>0</v>
      </c>
      <c r="G1283" s="1230">
        <f t="shared" si="82"/>
        <v>0</v>
      </c>
      <c r="H1283" s="1233">
        <f t="shared" si="83"/>
        <v>0</v>
      </c>
      <c r="I1283" s="743">
        <f t="shared" si="79"/>
        <v>0</v>
      </c>
      <c r="J1283" s="743"/>
      <c r="K1283" s="869"/>
      <c r="L1283" s="749"/>
      <c r="M1283" s="869"/>
      <c r="N1283" s="749"/>
      <c r="O1283" s="749"/>
    </row>
    <row r="1284" spans="3:15">
      <c r="C1284" s="739">
        <f>IF(D1255="","-",+C1283+1)</f>
        <v>2047</v>
      </c>
      <c r="D1284" s="691">
        <f t="shared" si="78"/>
        <v>0</v>
      </c>
      <c r="E1284" s="746">
        <f t="shared" si="80"/>
        <v>0</v>
      </c>
      <c r="F1284" s="691">
        <f t="shared" si="81"/>
        <v>0</v>
      </c>
      <c r="G1284" s="1230">
        <f t="shared" si="82"/>
        <v>0</v>
      </c>
      <c r="H1284" s="1233">
        <f t="shared" si="83"/>
        <v>0</v>
      </c>
      <c r="I1284" s="743">
        <f t="shared" si="79"/>
        <v>0</v>
      </c>
      <c r="J1284" s="743"/>
      <c r="K1284" s="869"/>
      <c r="L1284" s="749"/>
      <c r="M1284" s="869"/>
      <c r="N1284" s="749"/>
      <c r="O1284" s="749"/>
    </row>
    <row r="1285" spans="3:15">
      <c r="C1285" s="739">
        <f>IF(D1255="","-",+C1284+1)</f>
        <v>2048</v>
      </c>
      <c r="D1285" s="691">
        <f t="shared" si="78"/>
        <v>0</v>
      </c>
      <c r="E1285" s="746">
        <f t="shared" si="80"/>
        <v>0</v>
      </c>
      <c r="F1285" s="691">
        <f t="shared" si="81"/>
        <v>0</v>
      </c>
      <c r="G1285" s="1230">
        <f t="shared" si="82"/>
        <v>0</v>
      </c>
      <c r="H1285" s="1233">
        <f t="shared" si="83"/>
        <v>0</v>
      </c>
      <c r="I1285" s="743">
        <f t="shared" si="79"/>
        <v>0</v>
      </c>
      <c r="J1285" s="743"/>
      <c r="K1285" s="869"/>
      <c r="L1285" s="749"/>
      <c r="M1285" s="869"/>
      <c r="N1285" s="749"/>
      <c r="O1285" s="749"/>
    </row>
    <row r="1286" spans="3:15">
      <c r="C1286" s="739">
        <f>IF(D1255="","-",+C1285+1)</f>
        <v>2049</v>
      </c>
      <c r="D1286" s="691">
        <f t="shared" si="78"/>
        <v>0</v>
      </c>
      <c r="E1286" s="746">
        <f t="shared" si="80"/>
        <v>0</v>
      </c>
      <c r="F1286" s="691">
        <f t="shared" si="81"/>
        <v>0</v>
      </c>
      <c r="G1286" s="1230">
        <f t="shared" si="82"/>
        <v>0</v>
      </c>
      <c r="H1286" s="1233">
        <f t="shared" si="83"/>
        <v>0</v>
      </c>
      <c r="I1286" s="743">
        <f t="shared" si="79"/>
        <v>0</v>
      </c>
      <c r="J1286" s="743"/>
      <c r="K1286" s="869"/>
      <c r="L1286" s="749"/>
      <c r="M1286" s="869"/>
      <c r="N1286" s="749"/>
      <c r="O1286" s="749"/>
    </row>
    <row r="1287" spans="3:15">
      <c r="C1287" s="739">
        <f>IF(D1255="","-",+C1286+1)</f>
        <v>2050</v>
      </c>
      <c r="D1287" s="691">
        <f t="shared" si="78"/>
        <v>0</v>
      </c>
      <c r="E1287" s="746">
        <f t="shared" si="80"/>
        <v>0</v>
      </c>
      <c r="F1287" s="691">
        <f t="shared" si="81"/>
        <v>0</v>
      </c>
      <c r="G1287" s="1230">
        <f t="shared" si="82"/>
        <v>0</v>
      </c>
      <c r="H1287" s="1233">
        <f t="shared" si="83"/>
        <v>0</v>
      </c>
      <c r="I1287" s="743">
        <f t="shared" si="79"/>
        <v>0</v>
      </c>
      <c r="J1287" s="743"/>
      <c r="K1287" s="869"/>
      <c r="L1287" s="749"/>
      <c r="M1287" s="869"/>
      <c r="N1287" s="749"/>
      <c r="O1287" s="749"/>
    </row>
    <row r="1288" spans="3:15">
      <c r="C1288" s="739">
        <f>IF(D1255="","-",+C1287+1)</f>
        <v>2051</v>
      </c>
      <c r="D1288" s="691">
        <f t="shared" si="78"/>
        <v>0</v>
      </c>
      <c r="E1288" s="746">
        <f t="shared" si="80"/>
        <v>0</v>
      </c>
      <c r="F1288" s="691">
        <f t="shared" si="81"/>
        <v>0</v>
      </c>
      <c r="G1288" s="1230">
        <f t="shared" si="82"/>
        <v>0</v>
      </c>
      <c r="H1288" s="1233">
        <f t="shared" si="83"/>
        <v>0</v>
      </c>
      <c r="I1288" s="743">
        <f t="shared" si="79"/>
        <v>0</v>
      </c>
      <c r="J1288" s="743"/>
      <c r="K1288" s="869"/>
      <c r="L1288" s="749"/>
      <c r="M1288" s="869"/>
      <c r="N1288" s="749"/>
      <c r="O1288" s="749"/>
    </row>
    <row r="1289" spans="3:15">
      <c r="C1289" s="739">
        <f>IF(D1255="","-",+C1288+1)</f>
        <v>2052</v>
      </c>
      <c r="D1289" s="691">
        <f t="shared" si="78"/>
        <v>0</v>
      </c>
      <c r="E1289" s="746">
        <f t="shared" si="80"/>
        <v>0</v>
      </c>
      <c r="F1289" s="691">
        <f t="shared" si="81"/>
        <v>0</v>
      </c>
      <c r="G1289" s="1230">
        <f t="shared" si="82"/>
        <v>0</v>
      </c>
      <c r="H1289" s="1233">
        <f t="shared" si="83"/>
        <v>0</v>
      </c>
      <c r="I1289" s="743">
        <f t="shared" si="79"/>
        <v>0</v>
      </c>
      <c r="J1289" s="743"/>
      <c r="K1289" s="869"/>
      <c r="L1289" s="749"/>
      <c r="M1289" s="869"/>
      <c r="N1289" s="749"/>
      <c r="O1289" s="749"/>
    </row>
    <row r="1290" spans="3:15">
      <c r="C1290" s="739">
        <f>IF(D1255="","-",+C1289+1)</f>
        <v>2053</v>
      </c>
      <c r="D1290" s="691">
        <f t="shared" si="78"/>
        <v>0</v>
      </c>
      <c r="E1290" s="746">
        <f t="shared" si="80"/>
        <v>0</v>
      </c>
      <c r="F1290" s="691">
        <f t="shared" si="81"/>
        <v>0</v>
      </c>
      <c r="G1290" s="1230">
        <f t="shared" si="82"/>
        <v>0</v>
      </c>
      <c r="H1290" s="1233">
        <f t="shared" si="83"/>
        <v>0</v>
      </c>
      <c r="I1290" s="743">
        <f t="shared" si="79"/>
        <v>0</v>
      </c>
      <c r="J1290" s="743"/>
      <c r="K1290" s="869"/>
      <c r="L1290" s="749"/>
      <c r="M1290" s="869"/>
      <c r="N1290" s="749"/>
      <c r="O1290" s="749"/>
    </row>
    <row r="1291" spans="3:15">
      <c r="C1291" s="739">
        <f>IF(D1255="","-",+C1290+1)</f>
        <v>2054</v>
      </c>
      <c r="D1291" s="691">
        <f t="shared" si="78"/>
        <v>0</v>
      </c>
      <c r="E1291" s="746">
        <f t="shared" si="80"/>
        <v>0</v>
      </c>
      <c r="F1291" s="691">
        <f t="shared" si="81"/>
        <v>0</v>
      </c>
      <c r="G1291" s="1230">
        <f t="shared" si="82"/>
        <v>0</v>
      </c>
      <c r="H1291" s="1233">
        <f t="shared" si="83"/>
        <v>0</v>
      </c>
      <c r="I1291" s="743">
        <f t="shared" si="79"/>
        <v>0</v>
      </c>
      <c r="J1291" s="743"/>
      <c r="K1291" s="869"/>
      <c r="L1291" s="749"/>
      <c r="M1291" s="869"/>
      <c r="N1291" s="749"/>
      <c r="O1291" s="749"/>
    </row>
    <row r="1292" spans="3:15">
      <c r="C1292" s="739">
        <f>IF(D1255="","-",+C1291+1)</f>
        <v>2055</v>
      </c>
      <c r="D1292" s="691">
        <f t="shared" si="78"/>
        <v>0</v>
      </c>
      <c r="E1292" s="746">
        <f t="shared" si="80"/>
        <v>0</v>
      </c>
      <c r="F1292" s="691">
        <f t="shared" si="81"/>
        <v>0</v>
      </c>
      <c r="G1292" s="1230">
        <f t="shared" si="82"/>
        <v>0</v>
      </c>
      <c r="H1292" s="1233">
        <f t="shared" si="83"/>
        <v>0</v>
      </c>
      <c r="I1292" s="743">
        <f t="shared" si="79"/>
        <v>0</v>
      </c>
      <c r="J1292" s="743"/>
      <c r="K1292" s="869"/>
      <c r="L1292" s="749"/>
      <c r="M1292" s="869"/>
      <c r="N1292" s="749"/>
      <c r="O1292" s="749"/>
    </row>
    <row r="1293" spans="3:15">
      <c r="C1293" s="739">
        <f>IF(D1255="","-",+C1292+1)</f>
        <v>2056</v>
      </c>
      <c r="D1293" s="691">
        <f t="shared" si="78"/>
        <v>0</v>
      </c>
      <c r="E1293" s="746">
        <f t="shared" si="80"/>
        <v>0</v>
      </c>
      <c r="F1293" s="691">
        <f t="shared" si="81"/>
        <v>0</v>
      </c>
      <c r="G1293" s="1230">
        <f t="shared" si="82"/>
        <v>0</v>
      </c>
      <c r="H1293" s="1233">
        <f t="shared" si="83"/>
        <v>0</v>
      </c>
      <c r="I1293" s="743">
        <f t="shared" si="79"/>
        <v>0</v>
      </c>
      <c r="J1293" s="743"/>
      <c r="K1293" s="869"/>
      <c r="L1293" s="749"/>
      <c r="M1293" s="869"/>
      <c r="N1293" s="749"/>
      <c r="O1293" s="749"/>
    </row>
    <row r="1294" spans="3:15">
      <c r="C1294" s="739">
        <f>IF(D1255="","-",+C1293+1)</f>
        <v>2057</v>
      </c>
      <c r="D1294" s="691">
        <f t="shared" si="78"/>
        <v>0</v>
      </c>
      <c r="E1294" s="746">
        <f t="shared" si="80"/>
        <v>0</v>
      </c>
      <c r="F1294" s="691">
        <f t="shared" si="81"/>
        <v>0</v>
      </c>
      <c r="G1294" s="1230">
        <f t="shared" si="82"/>
        <v>0</v>
      </c>
      <c r="H1294" s="1233">
        <f t="shared" si="83"/>
        <v>0</v>
      </c>
      <c r="I1294" s="743">
        <f t="shared" si="79"/>
        <v>0</v>
      </c>
      <c r="J1294" s="743"/>
      <c r="K1294" s="869"/>
      <c r="L1294" s="749"/>
      <c r="M1294" s="869"/>
      <c r="N1294" s="749"/>
      <c r="O1294" s="749"/>
    </row>
    <row r="1295" spans="3:15">
      <c r="C1295" s="739">
        <f>IF(D1255="","-",+C1294+1)</f>
        <v>2058</v>
      </c>
      <c r="D1295" s="691">
        <f t="shared" si="78"/>
        <v>0</v>
      </c>
      <c r="E1295" s="746">
        <f t="shared" si="80"/>
        <v>0</v>
      </c>
      <c r="F1295" s="691">
        <f t="shared" si="81"/>
        <v>0</v>
      </c>
      <c r="G1295" s="1230">
        <f t="shared" si="82"/>
        <v>0</v>
      </c>
      <c r="H1295" s="1233">
        <f t="shared" si="83"/>
        <v>0</v>
      </c>
      <c r="I1295" s="743">
        <f t="shared" si="79"/>
        <v>0</v>
      </c>
      <c r="J1295" s="743"/>
      <c r="K1295" s="869"/>
      <c r="L1295" s="749"/>
      <c r="M1295" s="869"/>
      <c r="N1295" s="749"/>
      <c r="O1295" s="749"/>
    </row>
    <row r="1296" spans="3:15">
      <c r="C1296" s="739">
        <f>IF(D1255="","-",+C1295+1)</f>
        <v>2059</v>
      </c>
      <c r="D1296" s="691">
        <f t="shared" si="78"/>
        <v>0</v>
      </c>
      <c r="E1296" s="746">
        <f t="shared" si="80"/>
        <v>0</v>
      </c>
      <c r="F1296" s="691">
        <f t="shared" si="81"/>
        <v>0</v>
      </c>
      <c r="G1296" s="1230">
        <f t="shared" si="82"/>
        <v>0</v>
      </c>
      <c r="H1296" s="1233">
        <f t="shared" si="83"/>
        <v>0</v>
      </c>
      <c r="I1296" s="743">
        <f t="shared" si="79"/>
        <v>0</v>
      </c>
      <c r="J1296" s="743"/>
      <c r="K1296" s="869"/>
      <c r="L1296" s="749"/>
      <c r="M1296" s="869"/>
      <c r="N1296" s="749"/>
      <c r="O1296" s="749"/>
    </row>
    <row r="1297" spans="3:15">
      <c r="C1297" s="739">
        <f>IF(D1255="","-",+C1296+1)</f>
        <v>2060</v>
      </c>
      <c r="D1297" s="691">
        <f t="shared" si="78"/>
        <v>0</v>
      </c>
      <c r="E1297" s="746">
        <f t="shared" si="80"/>
        <v>0</v>
      </c>
      <c r="F1297" s="691">
        <f t="shared" si="81"/>
        <v>0</v>
      </c>
      <c r="G1297" s="1230">
        <f t="shared" si="82"/>
        <v>0</v>
      </c>
      <c r="H1297" s="1233">
        <f t="shared" si="83"/>
        <v>0</v>
      </c>
      <c r="I1297" s="743">
        <f t="shared" si="79"/>
        <v>0</v>
      </c>
      <c r="J1297" s="743"/>
      <c r="K1297" s="869"/>
      <c r="L1297" s="749"/>
      <c r="M1297" s="869"/>
      <c r="N1297" s="749"/>
      <c r="O1297" s="749"/>
    </row>
    <row r="1298" spans="3:15">
      <c r="C1298" s="739">
        <f>IF(D1255="","-",+C1297+1)</f>
        <v>2061</v>
      </c>
      <c r="D1298" s="691">
        <f t="shared" si="78"/>
        <v>0</v>
      </c>
      <c r="E1298" s="746">
        <f t="shared" si="80"/>
        <v>0</v>
      </c>
      <c r="F1298" s="691">
        <f t="shared" si="81"/>
        <v>0</v>
      </c>
      <c r="G1298" s="1230">
        <f t="shared" si="82"/>
        <v>0</v>
      </c>
      <c r="H1298" s="1233">
        <f t="shared" si="83"/>
        <v>0</v>
      </c>
      <c r="I1298" s="743">
        <f t="shared" si="79"/>
        <v>0</v>
      </c>
      <c r="J1298" s="743"/>
      <c r="K1298" s="869"/>
      <c r="L1298" s="749"/>
      <c r="M1298" s="869"/>
      <c r="N1298" s="749"/>
      <c r="O1298" s="749"/>
    </row>
    <row r="1299" spans="3:15">
      <c r="C1299" s="739">
        <f>IF(D1255="","-",+C1298+1)</f>
        <v>2062</v>
      </c>
      <c r="D1299" s="691">
        <f t="shared" si="78"/>
        <v>0</v>
      </c>
      <c r="E1299" s="746">
        <f t="shared" si="80"/>
        <v>0</v>
      </c>
      <c r="F1299" s="691">
        <f t="shared" si="81"/>
        <v>0</v>
      </c>
      <c r="G1299" s="1230">
        <f t="shared" si="82"/>
        <v>0</v>
      </c>
      <c r="H1299" s="1233">
        <f t="shared" si="83"/>
        <v>0</v>
      </c>
      <c r="I1299" s="743">
        <f t="shared" si="79"/>
        <v>0</v>
      </c>
      <c r="J1299" s="743"/>
      <c r="K1299" s="869"/>
      <c r="L1299" s="749"/>
      <c r="M1299" s="869"/>
      <c r="N1299" s="749"/>
      <c r="O1299" s="749"/>
    </row>
    <row r="1300" spans="3:15">
      <c r="C1300" s="739">
        <f>IF(D1255="","-",+C1299+1)</f>
        <v>2063</v>
      </c>
      <c r="D1300" s="691">
        <f t="shared" si="78"/>
        <v>0</v>
      </c>
      <c r="E1300" s="746">
        <f t="shared" si="80"/>
        <v>0</v>
      </c>
      <c r="F1300" s="691">
        <f t="shared" si="81"/>
        <v>0</v>
      </c>
      <c r="G1300" s="1230">
        <f t="shared" si="82"/>
        <v>0</v>
      </c>
      <c r="H1300" s="1233">
        <f t="shared" si="83"/>
        <v>0</v>
      </c>
      <c r="I1300" s="743">
        <f t="shared" si="79"/>
        <v>0</v>
      </c>
      <c r="J1300" s="743"/>
      <c r="K1300" s="869"/>
      <c r="L1300" s="749"/>
      <c r="M1300" s="869"/>
      <c r="N1300" s="749"/>
      <c r="O1300" s="749"/>
    </row>
    <row r="1301" spans="3:15">
      <c r="C1301" s="739">
        <f>IF(D1255="","-",+C1300+1)</f>
        <v>2064</v>
      </c>
      <c r="D1301" s="691">
        <f t="shared" si="78"/>
        <v>0</v>
      </c>
      <c r="E1301" s="746">
        <f t="shared" si="80"/>
        <v>0</v>
      </c>
      <c r="F1301" s="691">
        <f t="shared" si="81"/>
        <v>0</v>
      </c>
      <c r="G1301" s="1230">
        <f t="shared" si="82"/>
        <v>0</v>
      </c>
      <c r="H1301" s="1233">
        <f t="shared" si="83"/>
        <v>0</v>
      </c>
      <c r="I1301" s="743">
        <f t="shared" si="79"/>
        <v>0</v>
      </c>
      <c r="J1301" s="743"/>
      <c r="K1301" s="869"/>
      <c r="L1301" s="749"/>
      <c r="M1301" s="869"/>
      <c r="N1301" s="749"/>
      <c r="O1301" s="749"/>
    </row>
    <row r="1302" spans="3:15">
      <c r="C1302" s="739">
        <f>IF(D1255="","-",+C1301+1)</f>
        <v>2065</v>
      </c>
      <c r="D1302" s="691">
        <f t="shared" si="78"/>
        <v>0</v>
      </c>
      <c r="E1302" s="746">
        <f t="shared" si="80"/>
        <v>0</v>
      </c>
      <c r="F1302" s="691">
        <f t="shared" si="81"/>
        <v>0</v>
      </c>
      <c r="G1302" s="1230">
        <f t="shared" si="82"/>
        <v>0</v>
      </c>
      <c r="H1302" s="1233">
        <f t="shared" si="83"/>
        <v>0</v>
      </c>
      <c r="I1302" s="743">
        <f t="shared" si="79"/>
        <v>0</v>
      </c>
      <c r="J1302" s="743"/>
      <c r="K1302" s="869"/>
      <c r="L1302" s="749"/>
      <c r="M1302" s="869"/>
      <c r="N1302" s="749"/>
      <c r="O1302" s="749"/>
    </row>
    <row r="1303" spans="3:15">
      <c r="C1303" s="739">
        <f>IF(D1255="","-",+C1302+1)</f>
        <v>2066</v>
      </c>
      <c r="D1303" s="691">
        <f t="shared" si="78"/>
        <v>0</v>
      </c>
      <c r="E1303" s="746">
        <f t="shared" si="80"/>
        <v>0</v>
      </c>
      <c r="F1303" s="691">
        <f t="shared" si="81"/>
        <v>0</v>
      </c>
      <c r="G1303" s="1230">
        <f t="shared" si="82"/>
        <v>0</v>
      </c>
      <c r="H1303" s="1233">
        <f t="shared" si="83"/>
        <v>0</v>
      </c>
      <c r="I1303" s="743">
        <f t="shared" si="79"/>
        <v>0</v>
      </c>
      <c r="J1303" s="743"/>
      <c r="K1303" s="869"/>
      <c r="L1303" s="749"/>
      <c r="M1303" s="869"/>
      <c r="N1303" s="749"/>
      <c r="O1303" s="749"/>
    </row>
    <row r="1304" spans="3:15">
      <c r="C1304" s="739">
        <f>IF(D1255="","-",+C1303+1)</f>
        <v>2067</v>
      </c>
      <c r="D1304" s="691">
        <f t="shared" si="78"/>
        <v>0</v>
      </c>
      <c r="E1304" s="746">
        <f t="shared" si="80"/>
        <v>0</v>
      </c>
      <c r="F1304" s="691">
        <f t="shared" si="81"/>
        <v>0</v>
      </c>
      <c r="G1304" s="1230">
        <f t="shared" si="82"/>
        <v>0</v>
      </c>
      <c r="H1304" s="1233">
        <f t="shared" si="83"/>
        <v>0</v>
      </c>
      <c r="I1304" s="743">
        <f t="shared" si="79"/>
        <v>0</v>
      </c>
      <c r="J1304" s="743"/>
      <c r="K1304" s="869"/>
      <c r="L1304" s="749"/>
      <c r="M1304" s="869"/>
      <c r="N1304" s="749"/>
      <c r="O1304" s="749"/>
    </row>
    <row r="1305" spans="3:15">
      <c r="C1305" s="739">
        <f>IF(D1255="","-",+C1304+1)</f>
        <v>2068</v>
      </c>
      <c r="D1305" s="691">
        <f t="shared" si="78"/>
        <v>0</v>
      </c>
      <c r="E1305" s="746">
        <f t="shared" si="80"/>
        <v>0</v>
      </c>
      <c r="F1305" s="691">
        <f t="shared" si="81"/>
        <v>0</v>
      </c>
      <c r="G1305" s="1230">
        <f t="shared" si="82"/>
        <v>0</v>
      </c>
      <c r="H1305" s="1233">
        <f t="shared" si="83"/>
        <v>0</v>
      </c>
      <c r="I1305" s="743">
        <f t="shared" si="79"/>
        <v>0</v>
      </c>
      <c r="J1305" s="743"/>
      <c r="K1305" s="869"/>
      <c r="L1305" s="749"/>
      <c r="M1305" s="869"/>
      <c r="N1305" s="749"/>
      <c r="O1305" s="749"/>
    </row>
    <row r="1306" spans="3:15">
      <c r="C1306" s="739">
        <f>IF(D1255="","-",+C1305+1)</f>
        <v>2069</v>
      </c>
      <c r="D1306" s="691">
        <f t="shared" si="78"/>
        <v>0</v>
      </c>
      <c r="E1306" s="746">
        <f t="shared" si="80"/>
        <v>0</v>
      </c>
      <c r="F1306" s="691">
        <f t="shared" si="81"/>
        <v>0</v>
      </c>
      <c r="G1306" s="1230">
        <f t="shared" si="82"/>
        <v>0</v>
      </c>
      <c r="H1306" s="1233">
        <f t="shared" si="83"/>
        <v>0</v>
      </c>
      <c r="I1306" s="743">
        <f t="shared" si="79"/>
        <v>0</v>
      </c>
      <c r="J1306" s="743"/>
      <c r="K1306" s="869"/>
      <c r="L1306" s="749"/>
      <c r="M1306" s="869"/>
      <c r="N1306" s="749"/>
      <c r="O1306" s="749"/>
    </row>
    <row r="1307" spans="3:15">
      <c r="C1307" s="739">
        <f>IF(D1255="","-",+C1306+1)</f>
        <v>2070</v>
      </c>
      <c r="D1307" s="691">
        <f t="shared" si="78"/>
        <v>0</v>
      </c>
      <c r="E1307" s="746">
        <f t="shared" si="80"/>
        <v>0</v>
      </c>
      <c r="F1307" s="691">
        <f t="shared" si="81"/>
        <v>0</v>
      </c>
      <c r="G1307" s="1230">
        <f t="shared" si="82"/>
        <v>0</v>
      </c>
      <c r="H1307" s="1233">
        <f t="shared" si="83"/>
        <v>0</v>
      </c>
      <c r="I1307" s="743">
        <f t="shared" si="79"/>
        <v>0</v>
      </c>
      <c r="J1307" s="743"/>
      <c r="K1307" s="869"/>
      <c r="L1307" s="749"/>
      <c r="M1307" s="869"/>
      <c r="N1307" s="749"/>
      <c r="O1307" s="749"/>
    </row>
    <row r="1308" spans="3:15">
      <c r="C1308" s="739">
        <f>IF(D1255="","-",+C1307+1)</f>
        <v>2071</v>
      </c>
      <c r="D1308" s="691">
        <f t="shared" si="78"/>
        <v>0</v>
      </c>
      <c r="E1308" s="746">
        <f t="shared" si="80"/>
        <v>0</v>
      </c>
      <c r="F1308" s="691">
        <f t="shared" si="81"/>
        <v>0</v>
      </c>
      <c r="G1308" s="1230">
        <f t="shared" si="82"/>
        <v>0</v>
      </c>
      <c r="H1308" s="1233">
        <f t="shared" si="83"/>
        <v>0</v>
      </c>
      <c r="I1308" s="743">
        <f t="shared" si="79"/>
        <v>0</v>
      </c>
      <c r="J1308" s="743"/>
      <c r="K1308" s="869"/>
      <c r="L1308" s="749"/>
      <c r="M1308" s="869"/>
      <c r="N1308" s="749"/>
      <c r="O1308" s="749"/>
    </row>
    <row r="1309" spans="3:15">
      <c r="C1309" s="739">
        <f>IF(D1255="","-",+C1308+1)</f>
        <v>2072</v>
      </c>
      <c r="D1309" s="691">
        <f t="shared" si="78"/>
        <v>0</v>
      </c>
      <c r="E1309" s="746">
        <f t="shared" si="80"/>
        <v>0</v>
      </c>
      <c r="F1309" s="691">
        <f t="shared" si="81"/>
        <v>0</v>
      </c>
      <c r="G1309" s="1230">
        <f t="shared" si="82"/>
        <v>0</v>
      </c>
      <c r="H1309" s="1233">
        <f t="shared" si="83"/>
        <v>0</v>
      </c>
      <c r="I1309" s="743">
        <f t="shared" si="79"/>
        <v>0</v>
      </c>
      <c r="J1309" s="743"/>
      <c r="K1309" s="869"/>
      <c r="L1309" s="749"/>
      <c r="M1309" s="869"/>
      <c r="N1309" s="749"/>
      <c r="O1309" s="749"/>
    </row>
    <row r="1310" spans="3:15">
      <c r="C1310" s="739">
        <f>IF(D1255="","-",+C1309+1)</f>
        <v>2073</v>
      </c>
      <c r="D1310" s="691">
        <f t="shared" si="78"/>
        <v>0</v>
      </c>
      <c r="E1310" s="746">
        <f t="shared" si="80"/>
        <v>0</v>
      </c>
      <c r="F1310" s="691">
        <f t="shared" si="81"/>
        <v>0</v>
      </c>
      <c r="G1310" s="1230">
        <f t="shared" si="82"/>
        <v>0</v>
      </c>
      <c r="H1310" s="1233">
        <f t="shared" si="83"/>
        <v>0</v>
      </c>
      <c r="I1310" s="743">
        <f t="shared" si="79"/>
        <v>0</v>
      </c>
      <c r="J1310" s="743"/>
      <c r="K1310" s="869"/>
      <c r="L1310" s="749"/>
      <c r="M1310" s="869"/>
      <c r="N1310" s="749"/>
      <c r="O1310" s="749"/>
    </row>
    <row r="1311" spans="3:15">
      <c r="C1311" s="739">
        <f>IF(D1255="","-",+C1310+1)</f>
        <v>2074</v>
      </c>
      <c r="D1311" s="691">
        <f t="shared" si="78"/>
        <v>0</v>
      </c>
      <c r="E1311" s="746">
        <f t="shared" si="80"/>
        <v>0</v>
      </c>
      <c r="F1311" s="691">
        <f t="shared" si="81"/>
        <v>0</v>
      </c>
      <c r="G1311" s="1230">
        <f t="shared" si="82"/>
        <v>0</v>
      </c>
      <c r="H1311" s="1233">
        <f t="shared" si="83"/>
        <v>0</v>
      </c>
      <c r="I1311" s="743">
        <f t="shared" si="79"/>
        <v>0</v>
      </c>
      <c r="J1311" s="743"/>
      <c r="K1311" s="869"/>
      <c r="L1311" s="749"/>
      <c r="M1311" s="869"/>
      <c r="N1311" s="749"/>
      <c r="O1311" s="749"/>
    </row>
    <row r="1312" spans="3:15">
      <c r="C1312" s="739">
        <f>IF(D1255="","-",+C1311+1)</f>
        <v>2075</v>
      </c>
      <c r="D1312" s="691">
        <f t="shared" si="78"/>
        <v>0</v>
      </c>
      <c r="E1312" s="746">
        <f t="shared" si="80"/>
        <v>0</v>
      </c>
      <c r="F1312" s="691">
        <f t="shared" si="81"/>
        <v>0</v>
      </c>
      <c r="G1312" s="1230">
        <f t="shared" si="82"/>
        <v>0</v>
      </c>
      <c r="H1312" s="1233">
        <f t="shared" si="83"/>
        <v>0</v>
      </c>
      <c r="I1312" s="743">
        <f t="shared" si="79"/>
        <v>0</v>
      </c>
      <c r="J1312" s="743"/>
      <c r="K1312" s="869"/>
      <c r="L1312" s="749"/>
      <c r="M1312" s="869"/>
      <c r="N1312" s="749"/>
      <c r="O1312" s="749"/>
    </row>
    <row r="1313" spans="3:15">
      <c r="C1313" s="739">
        <f>IF(D1255="","-",+C1312+1)</f>
        <v>2076</v>
      </c>
      <c r="D1313" s="691">
        <f t="shared" si="78"/>
        <v>0</v>
      </c>
      <c r="E1313" s="746">
        <f t="shared" si="80"/>
        <v>0</v>
      </c>
      <c r="F1313" s="691">
        <f t="shared" si="81"/>
        <v>0</v>
      </c>
      <c r="G1313" s="1230">
        <f t="shared" si="82"/>
        <v>0</v>
      </c>
      <c r="H1313" s="1233">
        <f t="shared" si="83"/>
        <v>0</v>
      </c>
      <c r="I1313" s="743">
        <f t="shared" si="79"/>
        <v>0</v>
      </c>
      <c r="J1313" s="743"/>
      <c r="K1313" s="869"/>
      <c r="L1313" s="749"/>
      <c r="M1313" s="869"/>
      <c r="N1313" s="749"/>
      <c r="O1313" s="749"/>
    </row>
    <row r="1314" spans="3:15">
      <c r="C1314" s="739">
        <f>IF(D1255="","-",+C1313+1)</f>
        <v>2077</v>
      </c>
      <c r="D1314" s="691">
        <f t="shared" si="78"/>
        <v>0</v>
      </c>
      <c r="E1314" s="746">
        <f t="shared" si="80"/>
        <v>0</v>
      </c>
      <c r="F1314" s="691">
        <f t="shared" si="81"/>
        <v>0</v>
      </c>
      <c r="G1314" s="1230">
        <f t="shared" si="82"/>
        <v>0</v>
      </c>
      <c r="H1314" s="1233">
        <f t="shared" si="83"/>
        <v>0</v>
      </c>
      <c r="I1314" s="743">
        <f t="shared" si="79"/>
        <v>0</v>
      </c>
      <c r="J1314" s="743"/>
      <c r="K1314" s="869"/>
      <c r="L1314" s="749"/>
      <c r="M1314" s="869"/>
      <c r="N1314" s="749"/>
      <c r="O1314" s="749"/>
    </row>
    <row r="1315" spans="3:15">
      <c r="C1315" s="739">
        <f>IF(D1255="","-",+C1314+1)</f>
        <v>2078</v>
      </c>
      <c r="D1315" s="691">
        <f t="shared" si="78"/>
        <v>0</v>
      </c>
      <c r="E1315" s="746">
        <f t="shared" si="80"/>
        <v>0</v>
      </c>
      <c r="F1315" s="691">
        <f t="shared" si="81"/>
        <v>0</v>
      </c>
      <c r="G1315" s="1230">
        <f t="shared" si="82"/>
        <v>0</v>
      </c>
      <c r="H1315" s="1233">
        <f t="shared" si="83"/>
        <v>0</v>
      </c>
      <c r="I1315" s="743">
        <f t="shared" si="79"/>
        <v>0</v>
      </c>
      <c r="J1315" s="743"/>
      <c r="K1315" s="869"/>
      <c r="L1315" s="749"/>
      <c r="M1315" s="869"/>
      <c r="N1315" s="749"/>
      <c r="O1315" s="749"/>
    </row>
    <row r="1316" spans="3:15">
      <c r="C1316" s="739">
        <f>IF(D1255="","-",+C1315+1)</f>
        <v>2079</v>
      </c>
      <c r="D1316" s="691">
        <f t="shared" si="78"/>
        <v>0</v>
      </c>
      <c r="E1316" s="746">
        <f t="shared" si="80"/>
        <v>0</v>
      </c>
      <c r="F1316" s="691">
        <f t="shared" si="81"/>
        <v>0</v>
      </c>
      <c r="G1316" s="1230">
        <f t="shared" si="82"/>
        <v>0</v>
      </c>
      <c r="H1316" s="1233">
        <f t="shared" si="83"/>
        <v>0</v>
      </c>
      <c r="I1316" s="743">
        <f t="shared" si="79"/>
        <v>0</v>
      </c>
      <c r="J1316" s="743"/>
      <c r="K1316" s="869"/>
      <c r="L1316" s="749"/>
      <c r="M1316" s="869"/>
      <c r="N1316" s="749"/>
      <c r="O1316" s="749"/>
    </row>
    <row r="1317" spans="3:15">
      <c r="C1317" s="739">
        <f>IF(D1255="","-",+C1316+1)</f>
        <v>2080</v>
      </c>
      <c r="D1317" s="691">
        <f t="shared" si="78"/>
        <v>0</v>
      </c>
      <c r="E1317" s="746">
        <f t="shared" si="80"/>
        <v>0</v>
      </c>
      <c r="F1317" s="691">
        <f t="shared" si="81"/>
        <v>0</v>
      </c>
      <c r="G1317" s="1230">
        <f t="shared" si="82"/>
        <v>0</v>
      </c>
      <c r="H1317" s="1233">
        <f t="shared" si="83"/>
        <v>0</v>
      </c>
      <c r="I1317" s="743">
        <f t="shared" si="79"/>
        <v>0</v>
      </c>
      <c r="J1317" s="743"/>
      <c r="K1317" s="869"/>
      <c r="L1317" s="749"/>
      <c r="M1317" s="869"/>
      <c r="N1317" s="749"/>
      <c r="O1317" s="749"/>
    </row>
    <row r="1318" spans="3:15">
      <c r="C1318" s="739">
        <f>IF(D1255="","-",+C1317+1)</f>
        <v>2081</v>
      </c>
      <c r="D1318" s="691">
        <f t="shared" si="78"/>
        <v>0</v>
      </c>
      <c r="E1318" s="746">
        <f t="shared" si="80"/>
        <v>0</v>
      </c>
      <c r="F1318" s="691">
        <f t="shared" si="81"/>
        <v>0</v>
      </c>
      <c r="G1318" s="1230">
        <f t="shared" si="82"/>
        <v>0</v>
      </c>
      <c r="H1318" s="1233">
        <f t="shared" si="83"/>
        <v>0</v>
      </c>
      <c r="I1318" s="743">
        <f t="shared" si="79"/>
        <v>0</v>
      </c>
      <c r="J1318" s="743"/>
      <c r="K1318" s="869"/>
      <c r="L1318" s="749"/>
      <c r="M1318" s="869"/>
      <c r="N1318" s="749"/>
      <c r="O1318" s="749"/>
    </row>
    <row r="1319" spans="3:15">
      <c r="C1319" s="739">
        <f>IF(D1255="","-",+C1318+1)</f>
        <v>2082</v>
      </c>
      <c r="D1319" s="691">
        <f t="shared" si="78"/>
        <v>0</v>
      </c>
      <c r="E1319" s="746">
        <f t="shared" si="80"/>
        <v>0</v>
      </c>
      <c r="F1319" s="691">
        <f t="shared" si="81"/>
        <v>0</v>
      </c>
      <c r="G1319" s="1230">
        <f t="shared" si="82"/>
        <v>0</v>
      </c>
      <c r="H1319" s="1233">
        <f t="shared" si="83"/>
        <v>0</v>
      </c>
      <c r="I1319" s="743">
        <f t="shared" si="79"/>
        <v>0</v>
      </c>
      <c r="J1319" s="743"/>
      <c r="K1319" s="869"/>
      <c r="L1319" s="749"/>
      <c r="M1319" s="869"/>
      <c r="N1319" s="749"/>
      <c r="O1319" s="749"/>
    </row>
    <row r="1320" spans="3:15" ht="13.5" thickBot="1">
      <c r="C1320" s="750">
        <f>IF(D1255="","-",+C1319+1)</f>
        <v>2083</v>
      </c>
      <c r="D1320" s="751">
        <f t="shared" si="78"/>
        <v>0</v>
      </c>
      <c r="E1320" s="752">
        <f t="shared" si="80"/>
        <v>0</v>
      </c>
      <c r="F1320" s="1220">
        <f t="shared" si="81"/>
        <v>0</v>
      </c>
      <c r="G1320" s="1241">
        <f t="shared" si="82"/>
        <v>0</v>
      </c>
      <c r="H1320" s="1220">
        <f t="shared" si="83"/>
        <v>0</v>
      </c>
      <c r="I1320" s="754">
        <f t="shared" si="79"/>
        <v>0</v>
      </c>
      <c r="J1320" s="743"/>
      <c r="K1320" s="870"/>
      <c r="L1320" s="756"/>
      <c r="M1320" s="870"/>
      <c r="N1320" s="756"/>
      <c r="O1320" s="756"/>
    </row>
    <row r="1321" spans="3:15">
      <c r="C1321" s="691" t="s">
        <v>289</v>
      </c>
      <c r="D1321" s="1211"/>
      <c r="E1321" s="1211">
        <f>SUM(E1261:E1320)</f>
        <v>0</v>
      </c>
      <c r="F1321" s="1211"/>
      <c r="G1321" s="1211">
        <f>SUM(G1261:G1320)</f>
        <v>0</v>
      </c>
      <c r="H1321" s="1211">
        <f>SUM(H1261:H1320)</f>
        <v>0</v>
      </c>
      <c r="I1321" s="1211">
        <f>SUM(I1261:I1320)</f>
        <v>0</v>
      </c>
      <c r="J1321" s="1211"/>
      <c r="K1321" s="1211"/>
      <c r="L1321" s="1211"/>
      <c r="M1321" s="1211"/>
      <c r="N1321" s="1211"/>
      <c r="O1321" s="558"/>
    </row>
    <row r="1322" spans="3:15">
      <c r="D1322" s="581"/>
      <c r="E1322" s="558"/>
      <c r="F1322" s="558"/>
      <c r="G1322" s="558"/>
      <c r="H1322" s="1210"/>
      <c r="I1322" s="1210"/>
      <c r="J1322" s="1211"/>
      <c r="K1322" s="1210"/>
      <c r="L1322" s="1210"/>
      <c r="M1322" s="1210"/>
      <c r="N1322" s="1210"/>
      <c r="O1322" s="558"/>
    </row>
    <row r="1323" spans="3:15">
      <c r="C1323" s="1242" t="s">
        <v>926</v>
      </c>
      <c r="D1323" s="581"/>
      <c r="E1323" s="558"/>
      <c r="F1323" s="558"/>
      <c r="G1323" s="558"/>
      <c r="H1323" s="1210"/>
      <c r="I1323" s="1210"/>
      <c r="J1323" s="1211"/>
      <c r="K1323" s="1210"/>
      <c r="L1323" s="1210"/>
      <c r="M1323" s="1210"/>
      <c r="N1323" s="1210"/>
      <c r="O1323" s="558"/>
    </row>
    <row r="1324" spans="3:15">
      <c r="D1324" s="581"/>
      <c r="E1324" s="558"/>
      <c r="F1324" s="558"/>
      <c r="G1324" s="558"/>
      <c r="H1324" s="1210"/>
      <c r="I1324" s="1210"/>
      <c r="J1324" s="1211"/>
      <c r="K1324" s="1210"/>
      <c r="L1324" s="1210"/>
      <c r="M1324" s="1210"/>
      <c r="N1324" s="1210"/>
      <c r="O1324" s="558"/>
    </row>
    <row r="1325" spans="3:15">
      <c r="C1325" s="704" t="s">
        <v>927</v>
      </c>
      <c r="D1325" s="691"/>
      <c r="E1325" s="691"/>
      <c r="F1325" s="691"/>
      <c r="G1325" s="1211"/>
      <c r="H1325" s="1211"/>
      <c r="I1325" s="692"/>
      <c r="J1325" s="692"/>
      <c r="K1325" s="692"/>
      <c r="L1325" s="692"/>
      <c r="M1325" s="692"/>
      <c r="N1325" s="692"/>
      <c r="O1325" s="558"/>
    </row>
    <row r="1326" spans="3:15">
      <c r="C1326" s="690" t="s">
        <v>477</v>
      </c>
      <c r="D1326" s="691"/>
      <c r="E1326" s="691"/>
      <c r="F1326" s="691"/>
      <c r="G1326" s="1211"/>
      <c r="H1326" s="1211"/>
      <c r="I1326" s="692"/>
      <c r="J1326" s="692"/>
      <c r="K1326" s="692"/>
      <c r="L1326" s="692"/>
      <c r="M1326" s="692"/>
      <c r="N1326" s="692"/>
      <c r="O1326" s="558"/>
    </row>
    <row r="1327" spans="3:15">
      <c r="C1327" s="690" t="s">
        <v>290</v>
      </c>
      <c r="D1327" s="691"/>
      <c r="E1327" s="691"/>
      <c r="F1327" s="691"/>
      <c r="G1327" s="1211"/>
      <c r="H1327" s="1211"/>
      <c r="I1327" s="692"/>
      <c r="J1327" s="692"/>
      <c r="K1327" s="692"/>
      <c r="L1327" s="692"/>
      <c r="M1327" s="692"/>
      <c r="N1327" s="692"/>
      <c r="O1327" s="558"/>
    </row>
    <row r="1328" spans="3:15">
      <c r="C1328" s="690"/>
      <c r="D1328" s="691"/>
      <c r="E1328" s="691"/>
      <c r="F1328" s="691"/>
      <c r="G1328" s="1211"/>
      <c r="H1328" s="1211"/>
      <c r="I1328" s="692"/>
      <c r="J1328" s="692"/>
      <c r="K1328" s="692"/>
      <c r="L1328" s="692"/>
      <c r="M1328" s="692"/>
      <c r="N1328" s="692"/>
      <c r="O1328" s="558"/>
    </row>
    <row r="1329" spans="1:15">
      <c r="C1329" s="1601" t="s">
        <v>461</v>
      </c>
      <c r="D1329" s="1601"/>
      <c r="E1329" s="1601"/>
      <c r="F1329" s="1601"/>
      <c r="G1329" s="1601"/>
      <c r="H1329" s="1601"/>
      <c r="I1329" s="1601"/>
      <c r="J1329" s="1601"/>
      <c r="K1329" s="1601"/>
      <c r="L1329" s="1601"/>
      <c r="M1329" s="1601"/>
      <c r="N1329" s="1601"/>
      <c r="O1329" s="1601"/>
    </row>
    <row r="1330" spans="1:15">
      <c r="C1330" s="1601"/>
      <c r="D1330" s="1601"/>
      <c r="E1330" s="1601"/>
      <c r="F1330" s="1601"/>
      <c r="G1330" s="1601"/>
      <c r="H1330" s="1601"/>
      <c r="I1330" s="1601"/>
      <c r="J1330" s="1601"/>
      <c r="K1330" s="1601"/>
      <c r="L1330" s="1601"/>
      <c r="M1330" s="1601"/>
      <c r="N1330" s="1601"/>
      <c r="O1330" s="1601"/>
    </row>
    <row r="1331" spans="1:15" ht="20.25">
      <c r="A1331" s="693" t="s">
        <v>923</v>
      </c>
      <c r="B1331" s="594"/>
      <c r="C1331" s="673"/>
      <c r="D1331" s="581"/>
      <c r="E1331" s="558"/>
      <c r="F1331" s="663"/>
      <c r="G1331" s="558"/>
      <c r="H1331" s="1210"/>
      <c r="K1331" s="694"/>
      <c r="L1331" s="694"/>
      <c r="M1331" s="694"/>
      <c r="N1331" s="609" t="str">
        <f>"Page "&amp;P1331&amp;" of "</f>
        <v xml:space="preserve">Page  of </v>
      </c>
      <c r="O1331" s="610">
        <f>COUNT(P$6:P$59527)</f>
        <v>10</v>
      </c>
    </row>
    <row r="1332" spans="1:15">
      <c r="B1332" s="594"/>
      <c r="C1332" s="558"/>
      <c r="D1332" s="581"/>
      <c r="E1332" s="558"/>
      <c r="F1332" s="558"/>
      <c r="G1332" s="558"/>
      <c r="H1332" s="1210"/>
      <c r="I1332" s="558"/>
      <c r="J1332" s="606"/>
      <c r="K1332" s="558"/>
      <c r="L1332" s="558"/>
      <c r="M1332" s="558"/>
      <c r="N1332" s="558"/>
      <c r="O1332" s="558"/>
    </row>
    <row r="1333" spans="1:15" ht="18">
      <c r="B1333" s="613" t="s">
        <v>175</v>
      </c>
      <c r="C1333" s="695" t="s">
        <v>291</v>
      </c>
      <c r="D1333" s="581"/>
      <c r="E1333" s="558"/>
      <c r="F1333" s="558"/>
      <c r="G1333" s="558"/>
      <c r="H1333" s="1210"/>
      <c r="I1333" s="1210"/>
      <c r="J1333" s="1211"/>
      <c r="K1333" s="1210"/>
      <c r="L1333" s="1210"/>
      <c r="M1333" s="1210"/>
      <c r="N1333" s="1210"/>
      <c r="O1333" s="558"/>
    </row>
    <row r="1334" spans="1:15" ht="18.75">
      <c r="B1334" s="613"/>
      <c r="C1334" s="612"/>
      <c r="D1334" s="581"/>
      <c r="E1334" s="558"/>
      <c r="F1334" s="558"/>
      <c r="G1334" s="558"/>
      <c r="H1334" s="1210"/>
      <c r="I1334" s="1210"/>
      <c r="J1334" s="1211"/>
      <c r="K1334" s="1210"/>
      <c r="L1334" s="1210"/>
      <c r="M1334" s="1210"/>
      <c r="N1334" s="1210"/>
      <c r="O1334" s="558"/>
    </row>
    <row r="1335" spans="1:15" ht="18.75">
      <c r="B1335" s="613"/>
      <c r="C1335" s="612" t="s">
        <v>292</v>
      </c>
      <c r="D1335" s="581"/>
      <c r="E1335" s="558"/>
      <c r="F1335" s="558"/>
      <c r="G1335" s="558"/>
      <c r="H1335" s="1210"/>
      <c r="I1335" s="1210"/>
      <c r="J1335" s="1211"/>
      <c r="K1335" s="1210"/>
      <c r="L1335" s="1210"/>
      <c r="M1335" s="1210"/>
      <c r="N1335" s="1210"/>
      <c r="O1335" s="558"/>
    </row>
    <row r="1336" spans="1:15" ht="15.75" thickBot="1">
      <c r="C1336" s="411"/>
      <c r="D1336" s="581"/>
      <c r="E1336" s="558"/>
      <c r="F1336" s="558"/>
      <c r="G1336" s="558"/>
      <c r="H1336" s="1210"/>
      <c r="I1336" s="1210"/>
      <c r="J1336" s="1211"/>
      <c r="K1336" s="1210"/>
      <c r="L1336" s="1210"/>
      <c r="M1336" s="1210"/>
      <c r="N1336" s="1210"/>
      <c r="O1336" s="558"/>
    </row>
    <row r="1337" spans="1:15" ht="15.75">
      <c r="C1337" s="614" t="s">
        <v>293</v>
      </c>
      <c r="D1337" s="581"/>
      <c r="E1337" s="558"/>
      <c r="F1337" s="558"/>
      <c r="G1337" s="1212"/>
      <c r="H1337" s="558" t="s">
        <v>272</v>
      </c>
      <c r="I1337" s="558"/>
      <c r="J1337" s="606"/>
      <c r="K1337" s="696" t="s">
        <v>297</v>
      </c>
      <c r="L1337" s="697"/>
      <c r="M1337" s="698"/>
      <c r="N1337" s="1213">
        <f>VLOOKUP(I1343,C1350:O1409,5)</f>
        <v>0</v>
      </c>
      <c r="O1337" s="558"/>
    </row>
    <row r="1338" spans="1:15" ht="15.75">
      <c r="C1338" s="614"/>
      <c r="D1338" s="581"/>
      <c r="E1338" s="558"/>
      <c r="F1338" s="558"/>
      <c r="G1338" s="558"/>
      <c r="H1338" s="1214"/>
      <c r="I1338" s="1214"/>
      <c r="J1338" s="1215"/>
      <c r="K1338" s="701" t="s">
        <v>298</v>
      </c>
      <c r="L1338" s="1216"/>
      <c r="M1338" s="606"/>
      <c r="N1338" s="1217">
        <f>VLOOKUP(I1343,C1350:O1409,6)</f>
        <v>0</v>
      </c>
      <c r="O1338" s="558"/>
    </row>
    <row r="1339" spans="1:15" ht="13.5" thickBot="1">
      <c r="C1339" s="702" t="s">
        <v>294</v>
      </c>
      <c r="D1339" s="1610" t="s">
        <v>1151</v>
      </c>
      <c r="E1339" s="1611"/>
      <c r="F1339" s="1611"/>
      <c r="G1339" s="1611"/>
      <c r="H1339" s="1611"/>
      <c r="I1339" s="1611"/>
      <c r="J1339" s="1211"/>
      <c r="K1339" s="1218" t="s">
        <v>451</v>
      </c>
      <c r="L1339" s="1219"/>
      <c r="M1339" s="1219"/>
      <c r="N1339" s="1220">
        <f>+N1338-N1337</f>
        <v>0</v>
      </c>
      <c r="O1339" s="558"/>
    </row>
    <row r="1340" spans="1:15">
      <c r="C1340" s="704"/>
      <c r="D1340" s="1611"/>
      <c r="E1340" s="1611"/>
      <c r="F1340" s="1611"/>
      <c r="G1340" s="1611"/>
      <c r="H1340" s="1611"/>
      <c r="I1340" s="1611"/>
      <c r="J1340" s="1211"/>
      <c r="K1340" s="1210"/>
      <c r="L1340" s="1210"/>
      <c r="M1340" s="1210"/>
      <c r="N1340" s="1210"/>
      <c r="O1340" s="558"/>
    </row>
    <row r="1341" spans="1:15" ht="13.5" thickBot="1">
      <c r="C1341" s="707"/>
      <c r="D1341" s="708"/>
      <c r="E1341" s="706"/>
      <c r="F1341" s="706"/>
      <c r="G1341" s="706"/>
      <c r="H1341" s="706"/>
      <c r="I1341" s="706"/>
      <c r="J1341" s="1351"/>
      <c r="K1341" s="706"/>
      <c r="L1341" s="706"/>
      <c r="M1341" s="706"/>
      <c r="N1341" s="706"/>
      <c r="O1341" s="594"/>
    </row>
    <row r="1342" spans="1:15" ht="13.5" thickBot="1">
      <c r="C1342" s="710" t="s">
        <v>295</v>
      </c>
      <c r="D1342" s="711"/>
      <c r="E1342" s="711"/>
      <c r="F1342" s="711"/>
      <c r="G1342" s="711"/>
      <c r="H1342" s="711"/>
      <c r="I1342" s="712"/>
      <c r="J1342" s="713"/>
      <c r="K1342" s="558"/>
      <c r="L1342" s="558"/>
      <c r="M1342" s="558"/>
      <c r="N1342" s="558"/>
      <c r="O1342" s="714"/>
    </row>
    <row r="1343" spans="1:15" ht="15">
      <c r="C1343" s="716" t="s">
        <v>273</v>
      </c>
      <c r="D1343" s="1221">
        <v>0</v>
      </c>
      <c r="E1343" s="673" t="s">
        <v>274</v>
      </c>
      <c r="G1343" s="717"/>
      <c r="H1343" s="717"/>
      <c r="I1343" s="718">
        <f>I1254</f>
        <v>2025</v>
      </c>
      <c r="J1343" s="604"/>
      <c r="K1343" s="1600" t="s">
        <v>460</v>
      </c>
      <c r="L1343" s="1600"/>
      <c r="M1343" s="1600"/>
      <c r="N1343" s="1600"/>
      <c r="O1343" s="1600"/>
    </row>
    <row r="1344" spans="1:15">
      <c r="C1344" s="716" t="s">
        <v>276</v>
      </c>
      <c r="D1344" s="864">
        <v>2024</v>
      </c>
      <c r="E1344" s="716" t="s">
        <v>277</v>
      </c>
      <c r="F1344" s="717"/>
      <c r="H1344" s="345"/>
      <c r="I1344" s="867">
        <f>IF(G1337="",0,$F$15)</f>
        <v>0</v>
      </c>
      <c r="J1344" s="719"/>
      <c r="K1344" s="1211" t="s">
        <v>460</v>
      </c>
    </row>
    <row r="1345" spans="1:15">
      <c r="C1345" s="716" t="s">
        <v>278</v>
      </c>
      <c r="D1345" s="1221">
        <v>4</v>
      </c>
      <c r="E1345" s="716" t="s">
        <v>279</v>
      </c>
      <c r="F1345" s="717"/>
      <c r="H1345" s="345"/>
      <c r="I1345" s="720">
        <f>$G$70</f>
        <v>0.11808937687765908</v>
      </c>
      <c r="J1345" s="721"/>
      <c r="K1345" s="345" t="str">
        <f>"          INPUT PROJECTED ARR (WITH &amp; WITHOUT INCENTIVES) FROM EACH PRIOR YEAR"</f>
        <v xml:space="preserve">          INPUT PROJECTED ARR (WITH &amp; WITHOUT INCENTIVES) FROM EACH PRIOR YEAR</v>
      </c>
    </row>
    <row r="1346" spans="1:15">
      <c r="C1346" s="716" t="s">
        <v>280</v>
      </c>
      <c r="D1346" s="722">
        <f>G$79</f>
        <v>38</v>
      </c>
      <c r="E1346" s="716" t="s">
        <v>281</v>
      </c>
      <c r="F1346" s="717"/>
      <c r="H1346" s="345"/>
      <c r="I1346" s="720">
        <f>IF(G1337="",I1345,$G$67)</f>
        <v>0.11808937687765908</v>
      </c>
      <c r="J1346" s="723"/>
      <c r="K1346" s="345" t="s">
        <v>358</v>
      </c>
    </row>
    <row r="1347" spans="1:15" ht="13.5" thickBot="1">
      <c r="C1347" s="716" t="s">
        <v>282</v>
      </c>
      <c r="D1347" s="866" t="s">
        <v>925</v>
      </c>
      <c r="E1347" s="724" t="s">
        <v>283</v>
      </c>
      <c r="F1347" s="725"/>
      <c r="G1347" s="726"/>
      <c r="H1347" s="726"/>
      <c r="I1347" s="1220">
        <f>IF(D1343=0,0,D1343/D1346)</f>
        <v>0</v>
      </c>
      <c r="J1347" s="1211"/>
      <c r="K1347" s="1211" t="s">
        <v>364</v>
      </c>
      <c r="L1347" s="1211"/>
      <c r="M1347" s="1211"/>
      <c r="N1347" s="1211"/>
      <c r="O1347" s="606"/>
    </row>
    <row r="1348" spans="1:15" ht="51">
      <c r="A1348" s="1350"/>
      <c r="B1348" s="1222"/>
      <c r="C1348" s="727" t="s">
        <v>273</v>
      </c>
      <c r="D1348" s="1223" t="s">
        <v>284</v>
      </c>
      <c r="E1348" s="1224" t="s">
        <v>285</v>
      </c>
      <c r="F1348" s="1223" t="s">
        <v>286</v>
      </c>
      <c r="G1348" s="1224" t="s">
        <v>357</v>
      </c>
      <c r="H1348" s="1225" t="s">
        <v>357</v>
      </c>
      <c r="I1348" s="727" t="s">
        <v>296</v>
      </c>
      <c r="J1348" s="731"/>
      <c r="K1348" s="1224" t="s">
        <v>366</v>
      </c>
      <c r="L1348" s="1226"/>
      <c r="M1348" s="1224" t="s">
        <v>366</v>
      </c>
      <c r="N1348" s="1226"/>
      <c r="O1348" s="1226"/>
    </row>
    <row r="1349" spans="1:15" ht="13.5" thickBot="1">
      <c r="C1349" s="733" t="s">
        <v>178</v>
      </c>
      <c r="D1349" s="734" t="s">
        <v>179</v>
      </c>
      <c r="E1349" s="733" t="s">
        <v>38</v>
      </c>
      <c r="F1349" s="734" t="s">
        <v>179</v>
      </c>
      <c r="G1349" s="1227" t="s">
        <v>299</v>
      </c>
      <c r="H1349" s="1228" t="s">
        <v>301</v>
      </c>
      <c r="I1349" s="737" t="s">
        <v>390</v>
      </c>
      <c r="J1349" s="738"/>
      <c r="K1349" s="1227" t="s">
        <v>288</v>
      </c>
      <c r="L1349" s="1229"/>
      <c r="M1349" s="1227" t="s">
        <v>301</v>
      </c>
      <c r="N1349" s="1229"/>
      <c r="O1349" s="1229"/>
    </row>
    <row r="1350" spans="1:15">
      <c r="C1350" s="739">
        <f>IF(D1344= "","-",D1344)</f>
        <v>2024</v>
      </c>
      <c r="D1350" s="691">
        <f>+D1343</f>
        <v>0</v>
      </c>
      <c r="E1350" s="1230">
        <f>+I1347/12*(12-D1345)</f>
        <v>0</v>
      </c>
      <c r="F1350" s="691">
        <f>+D1350-E1350</f>
        <v>0</v>
      </c>
      <c r="G1350" s="1231">
        <f>+$I$810*((D1350+F1350)/2)+E1350</f>
        <v>0</v>
      </c>
      <c r="H1350" s="1232">
        <f>+$I$811*((D1350+F1350)/2)+E1350</f>
        <v>0</v>
      </c>
      <c r="I1350" s="743">
        <f>+H1350-G1350</f>
        <v>0</v>
      </c>
      <c r="J1350" s="743"/>
      <c r="K1350" s="869">
        <v>32.492702607534426</v>
      </c>
      <c r="L1350" s="745"/>
      <c r="M1350" s="869">
        <v>32.492702607534426</v>
      </c>
      <c r="N1350" s="745"/>
      <c r="O1350" s="745"/>
    </row>
    <row r="1351" spans="1:15">
      <c r="C1351" s="739">
        <f>IF(D1344="","-",+C1350+1)</f>
        <v>2025</v>
      </c>
      <c r="D1351" s="691">
        <f t="shared" ref="D1351:D1409" si="84">F1350</f>
        <v>0</v>
      </c>
      <c r="E1351" s="746">
        <f>IF(D1351&gt;$I$1347,$I$1347,D1351)</f>
        <v>0</v>
      </c>
      <c r="F1351" s="691">
        <f>+D1351-E1351</f>
        <v>0</v>
      </c>
      <c r="G1351" s="1230">
        <f>+$I$810*((D1351+F1351)/2)+E1351</f>
        <v>0</v>
      </c>
      <c r="H1351" s="1233">
        <f>+$I$810*((D1351+F1351)/2)+E1351</f>
        <v>0</v>
      </c>
      <c r="I1351" s="743">
        <f t="shared" ref="I1351:I1409" si="85">+H1351-G1351</f>
        <v>0</v>
      </c>
      <c r="J1351" s="743"/>
      <c r="K1351" s="869">
        <v>0</v>
      </c>
      <c r="L1351" s="749"/>
      <c r="M1351" s="869">
        <v>0</v>
      </c>
      <c r="N1351" s="749"/>
      <c r="O1351" s="749"/>
    </row>
    <row r="1352" spans="1:15">
      <c r="C1352" s="1247">
        <f>IF(D1344="","-",+C1351+1)</f>
        <v>2026</v>
      </c>
      <c r="D1352" s="1235">
        <f t="shared" si="84"/>
        <v>0</v>
      </c>
      <c r="E1352" s="746">
        <f t="shared" ref="E1352:E1409" si="86">IF(D1352&gt;$I$1347,$I$1347,D1352)</f>
        <v>0</v>
      </c>
      <c r="F1352" s="691">
        <f t="shared" ref="F1352:F1409" si="87">+D1352-E1352</f>
        <v>0</v>
      </c>
      <c r="G1352" s="1230">
        <f t="shared" ref="G1352:G1409" si="88">+$I$810*((D1352+F1352)/2)+E1352</f>
        <v>0</v>
      </c>
      <c r="H1352" s="1233">
        <f t="shared" ref="H1352:H1409" si="89">+$I$810*((D1352+F1352)/2)+E1352</f>
        <v>0</v>
      </c>
      <c r="I1352" s="1239">
        <f t="shared" si="85"/>
        <v>0</v>
      </c>
      <c r="J1352" s="743"/>
      <c r="K1352" s="869"/>
      <c r="L1352" s="749"/>
      <c r="M1352" s="869"/>
      <c r="N1352" s="749"/>
      <c r="O1352" s="749"/>
    </row>
    <row r="1353" spans="1:15">
      <c r="C1353" s="739">
        <f>IF(D1344="","-",+C1352+1)</f>
        <v>2027</v>
      </c>
      <c r="D1353" s="691">
        <f t="shared" si="84"/>
        <v>0</v>
      </c>
      <c r="E1353" s="746">
        <f t="shared" si="86"/>
        <v>0</v>
      </c>
      <c r="F1353" s="691">
        <f t="shared" si="87"/>
        <v>0</v>
      </c>
      <c r="G1353" s="1230">
        <f t="shared" si="88"/>
        <v>0</v>
      </c>
      <c r="H1353" s="1233">
        <f t="shared" si="89"/>
        <v>0</v>
      </c>
      <c r="I1353" s="743">
        <f t="shared" si="85"/>
        <v>0</v>
      </c>
      <c r="J1353" s="743"/>
      <c r="K1353" s="869"/>
      <c r="L1353" s="749"/>
      <c r="M1353" s="869"/>
      <c r="N1353" s="749"/>
      <c r="O1353" s="749"/>
    </row>
    <row r="1354" spans="1:15">
      <c r="C1354" s="739">
        <f>IF(D1344="","-",+C1353+1)</f>
        <v>2028</v>
      </c>
      <c r="D1354" s="691">
        <f t="shared" si="84"/>
        <v>0</v>
      </c>
      <c r="E1354" s="746">
        <f t="shared" si="86"/>
        <v>0</v>
      </c>
      <c r="F1354" s="691">
        <f t="shared" si="87"/>
        <v>0</v>
      </c>
      <c r="G1354" s="1230">
        <f t="shared" si="88"/>
        <v>0</v>
      </c>
      <c r="H1354" s="1233">
        <f t="shared" si="89"/>
        <v>0</v>
      </c>
      <c r="I1354" s="743">
        <f t="shared" si="85"/>
        <v>0</v>
      </c>
      <c r="J1354" s="743"/>
      <c r="K1354" s="869"/>
      <c r="L1354" s="749"/>
      <c r="M1354" s="869"/>
      <c r="N1354" s="749"/>
      <c r="O1354" s="749"/>
    </row>
    <row r="1355" spans="1:15">
      <c r="C1355" s="739">
        <f>IF(D1344="","-",+C1354+1)</f>
        <v>2029</v>
      </c>
      <c r="D1355" s="691">
        <f t="shared" si="84"/>
        <v>0</v>
      </c>
      <c r="E1355" s="746">
        <f t="shared" si="86"/>
        <v>0</v>
      </c>
      <c r="F1355" s="691">
        <f t="shared" si="87"/>
        <v>0</v>
      </c>
      <c r="G1355" s="1230">
        <f t="shared" si="88"/>
        <v>0</v>
      </c>
      <c r="H1355" s="1233">
        <f t="shared" si="89"/>
        <v>0</v>
      </c>
      <c r="I1355" s="743">
        <f t="shared" si="85"/>
        <v>0</v>
      </c>
      <c r="J1355" s="743"/>
      <c r="K1355" s="869"/>
      <c r="L1355" s="749"/>
      <c r="M1355" s="869"/>
      <c r="N1355" s="749"/>
      <c r="O1355" s="749"/>
    </row>
    <row r="1356" spans="1:15">
      <c r="C1356" s="739">
        <f>IF(D1344="","-",+C1355+1)</f>
        <v>2030</v>
      </c>
      <c r="D1356" s="691">
        <f t="shared" si="84"/>
        <v>0</v>
      </c>
      <c r="E1356" s="746">
        <f t="shared" si="86"/>
        <v>0</v>
      </c>
      <c r="F1356" s="691">
        <f t="shared" si="87"/>
        <v>0</v>
      </c>
      <c r="G1356" s="1230">
        <f t="shared" si="88"/>
        <v>0</v>
      </c>
      <c r="H1356" s="1233">
        <f t="shared" si="89"/>
        <v>0</v>
      </c>
      <c r="I1356" s="743">
        <f t="shared" si="85"/>
        <v>0</v>
      </c>
      <c r="J1356" s="743"/>
      <c r="K1356" s="869"/>
      <c r="L1356" s="749"/>
      <c r="M1356" s="869"/>
      <c r="N1356" s="749"/>
      <c r="O1356" s="749"/>
    </row>
    <row r="1357" spans="1:15">
      <c r="C1357" s="739">
        <f>IF(D1344="","-",+C1356+1)</f>
        <v>2031</v>
      </c>
      <c r="D1357" s="691">
        <f t="shared" si="84"/>
        <v>0</v>
      </c>
      <c r="E1357" s="746">
        <f t="shared" si="86"/>
        <v>0</v>
      </c>
      <c r="F1357" s="691">
        <f t="shared" si="87"/>
        <v>0</v>
      </c>
      <c r="G1357" s="1230">
        <f t="shared" si="88"/>
        <v>0</v>
      </c>
      <c r="H1357" s="1233">
        <f t="shared" si="89"/>
        <v>0</v>
      </c>
      <c r="I1357" s="743">
        <f t="shared" si="85"/>
        <v>0</v>
      </c>
      <c r="J1357" s="743"/>
      <c r="K1357" s="869"/>
      <c r="L1357" s="749"/>
      <c r="M1357" s="869"/>
      <c r="N1357" s="749"/>
      <c r="O1357" s="749"/>
    </row>
    <row r="1358" spans="1:15">
      <c r="C1358" s="739">
        <f>IF(D1344="","-",+C1357+1)</f>
        <v>2032</v>
      </c>
      <c r="D1358" s="691">
        <f t="shared" si="84"/>
        <v>0</v>
      </c>
      <c r="E1358" s="746">
        <f t="shared" si="86"/>
        <v>0</v>
      </c>
      <c r="F1358" s="691">
        <f t="shared" si="87"/>
        <v>0</v>
      </c>
      <c r="G1358" s="1230">
        <f t="shared" si="88"/>
        <v>0</v>
      </c>
      <c r="H1358" s="1233">
        <f t="shared" si="89"/>
        <v>0</v>
      </c>
      <c r="I1358" s="743">
        <f t="shared" si="85"/>
        <v>0</v>
      </c>
      <c r="J1358" s="743"/>
      <c r="K1358" s="869"/>
      <c r="L1358" s="749"/>
      <c r="M1358" s="869"/>
      <c r="N1358" s="749"/>
      <c r="O1358" s="749"/>
    </row>
    <row r="1359" spans="1:15">
      <c r="C1359" s="739">
        <f>IF(D1344="","-",+C1358+1)</f>
        <v>2033</v>
      </c>
      <c r="D1359" s="691">
        <f t="shared" si="84"/>
        <v>0</v>
      </c>
      <c r="E1359" s="746">
        <f t="shared" si="86"/>
        <v>0</v>
      </c>
      <c r="F1359" s="691">
        <f t="shared" si="87"/>
        <v>0</v>
      </c>
      <c r="G1359" s="1230">
        <f t="shared" si="88"/>
        <v>0</v>
      </c>
      <c r="H1359" s="1233">
        <f t="shared" si="89"/>
        <v>0</v>
      </c>
      <c r="I1359" s="743">
        <f t="shared" si="85"/>
        <v>0</v>
      </c>
      <c r="J1359" s="743"/>
      <c r="K1359" s="869"/>
      <c r="L1359" s="749"/>
      <c r="M1359" s="869"/>
      <c r="N1359" s="749"/>
      <c r="O1359" s="749"/>
    </row>
    <row r="1360" spans="1:15">
      <c r="C1360" s="739">
        <f>IF(D1344="","-",+C1359+1)</f>
        <v>2034</v>
      </c>
      <c r="D1360" s="691">
        <f t="shared" si="84"/>
        <v>0</v>
      </c>
      <c r="E1360" s="746">
        <f t="shared" si="86"/>
        <v>0</v>
      </c>
      <c r="F1360" s="691">
        <f t="shared" si="87"/>
        <v>0</v>
      </c>
      <c r="G1360" s="1230">
        <f t="shared" si="88"/>
        <v>0</v>
      </c>
      <c r="H1360" s="1233">
        <f t="shared" si="89"/>
        <v>0</v>
      </c>
      <c r="I1360" s="743">
        <f t="shared" si="85"/>
        <v>0</v>
      </c>
      <c r="J1360" s="743"/>
      <c r="K1360" s="869"/>
      <c r="L1360" s="749"/>
      <c r="M1360" s="869"/>
      <c r="N1360" s="749"/>
      <c r="O1360" s="749"/>
    </row>
    <row r="1361" spans="3:15">
      <c r="C1361" s="739">
        <f>IF(D1344="","-",+C1360+1)</f>
        <v>2035</v>
      </c>
      <c r="D1361" s="691">
        <f t="shared" si="84"/>
        <v>0</v>
      </c>
      <c r="E1361" s="746">
        <f t="shared" si="86"/>
        <v>0</v>
      </c>
      <c r="F1361" s="691">
        <f t="shared" si="87"/>
        <v>0</v>
      </c>
      <c r="G1361" s="1230">
        <f t="shared" si="88"/>
        <v>0</v>
      </c>
      <c r="H1361" s="1233">
        <f t="shared" si="89"/>
        <v>0</v>
      </c>
      <c r="I1361" s="743">
        <f t="shared" si="85"/>
        <v>0</v>
      </c>
      <c r="J1361" s="743"/>
      <c r="K1361" s="869"/>
      <c r="L1361" s="749"/>
      <c r="M1361" s="869"/>
      <c r="N1361" s="749"/>
      <c r="O1361" s="749"/>
    </row>
    <row r="1362" spans="3:15">
      <c r="C1362" s="739">
        <f>IF(D1344="","-",+C1361+1)</f>
        <v>2036</v>
      </c>
      <c r="D1362" s="691">
        <f t="shared" si="84"/>
        <v>0</v>
      </c>
      <c r="E1362" s="746">
        <f t="shared" si="86"/>
        <v>0</v>
      </c>
      <c r="F1362" s="691">
        <f t="shared" si="87"/>
        <v>0</v>
      </c>
      <c r="G1362" s="1230">
        <f t="shared" si="88"/>
        <v>0</v>
      </c>
      <c r="H1362" s="1233">
        <f t="shared" si="89"/>
        <v>0</v>
      </c>
      <c r="I1362" s="743">
        <f t="shared" si="85"/>
        <v>0</v>
      </c>
      <c r="J1362" s="743"/>
      <c r="K1362" s="869"/>
      <c r="L1362" s="749"/>
      <c r="M1362" s="869"/>
      <c r="N1362" s="749"/>
      <c r="O1362" s="749"/>
    </row>
    <row r="1363" spans="3:15">
      <c r="C1363" s="739">
        <f>IF(D1344="","-",+C1362+1)</f>
        <v>2037</v>
      </c>
      <c r="D1363" s="691">
        <f t="shared" si="84"/>
        <v>0</v>
      </c>
      <c r="E1363" s="746">
        <f t="shared" si="86"/>
        <v>0</v>
      </c>
      <c r="F1363" s="691">
        <f t="shared" si="87"/>
        <v>0</v>
      </c>
      <c r="G1363" s="1230">
        <f t="shared" si="88"/>
        <v>0</v>
      </c>
      <c r="H1363" s="1233">
        <f t="shared" si="89"/>
        <v>0</v>
      </c>
      <c r="I1363" s="743">
        <f t="shared" si="85"/>
        <v>0</v>
      </c>
      <c r="J1363" s="743"/>
      <c r="K1363" s="869"/>
      <c r="L1363" s="749"/>
      <c r="M1363" s="869"/>
      <c r="N1363" s="749"/>
      <c r="O1363" s="749"/>
    </row>
    <row r="1364" spans="3:15">
      <c r="C1364" s="739">
        <f>IF(D1344="","-",+C1363+1)</f>
        <v>2038</v>
      </c>
      <c r="D1364" s="691">
        <f t="shared" si="84"/>
        <v>0</v>
      </c>
      <c r="E1364" s="746">
        <f t="shared" si="86"/>
        <v>0</v>
      </c>
      <c r="F1364" s="691">
        <f t="shared" si="87"/>
        <v>0</v>
      </c>
      <c r="G1364" s="1230">
        <f t="shared" si="88"/>
        <v>0</v>
      </c>
      <c r="H1364" s="1233">
        <f t="shared" si="89"/>
        <v>0</v>
      </c>
      <c r="I1364" s="743">
        <f t="shared" si="85"/>
        <v>0</v>
      </c>
      <c r="J1364" s="743"/>
      <c r="K1364" s="869"/>
      <c r="L1364" s="749"/>
      <c r="M1364" s="869"/>
      <c r="N1364" s="749"/>
      <c r="O1364" s="749"/>
    </row>
    <row r="1365" spans="3:15">
      <c r="C1365" s="739">
        <f>IF(D1344="","-",+C1364+1)</f>
        <v>2039</v>
      </c>
      <c r="D1365" s="691">
        <f t="shared" si="84"/>
        <v>0</v>
      </c>
      <c r="E1365" s="746">
        <f t="shared" si="86"/>
        <v>0</v>
      </c>
      <c r="F1365" s="691">
        <f t="shared" si="87"/>
        <v>0</v>
      </c>
      <c r="G1365" s="1230">
        <f t="shared" si="88"/>
        <v>0</v>
      </c>
      <c r="H1365" s="1233">
        <f t="shared" si="89"/>
        <v>0</v>
      </c>
      <c r="I1365" s="743">
        <f t="shared" si="85"/>
        <v>0</v>
      </c>
      <c r="J1365" s="743"/>
      <c r="K1365" s="869"/>
      <c r="L1365" s="749"/>
      <c r="M1365" s="869"/>
      <c r="N1365" s="749"/>
      <c r="O1365" s="749"/>
    </row>
    <row r="1366" spans="3:15">
      <c r="C1366" s="739">
        <f>IF(D1344="","-",+C1365+1)</f>
        <v>2040</v>
      </c>
      <c r="D1366" s="691">
        <f t="shared" si="84"/>
        <v>0</v>
      </c>
      <c r="E1366" s="746">
        <f t="shared" si="86"/>
        <v>0</v>
      </c>
      <c r="F1366" s="691">
        <f t="shared" si="87"/>
        <v>0</v>
      </c>
      <c r="G1366" s="1230">
        <f t="shared" si="88"/>
        <v>0</v>
      </c>
      <c r="H1366" s="1233">
        <f t="shared" si="89"/>
        <v>0</v>
      </c>
      <c r="I1366" s="743">
        <f t="shared" si="85"/>
        <v>0</v>
      </c>
      <c r="J1366" s="743"/>
      <c r="K1366" s="869"/>
      <c r="L1366" s="749"/>
      <c r="M1366" s="869"/>
      <c r="N1366" s="749"/>
      <c r="O1366" s="749"/>
    </row>
    <row r="1367" spans="3:15">
      <c r="C1367" s="739">
        <f>IF(D1344="","-",+C1366+1)</f>
        <v>2041</v>
      </c>
      <c r="D1367" s="691">
        <f t="shared" si="84"/>
        <v>0</v>
      </c>
      <c r="E1367" s="746">
        <f t="shared" si="86"/>
        <v>0</v>
      </c>
      <c r="F1367" s="691">
        <f t="shared" si="87"/>
        <v>0</v>
      </c>
      <c r="G1367" s="1230">
        <f t="shared" si="88"/>
        <v>0</v>
      </c>
      <c r="H1367" s="1233">
        <f t="shared" si="89"/>
        <v>0</v>
      </c>
      <c r="I1367" s="743">
        <f t="shared" si="85"/>
        <v>0</v>
      </c>
      <c r="J1367" s="743"/>
      <c r="K1367" s="869"/>
      <c r="L1367" s="749"/>
      <c r="M1367" s="869"/>
      <c r="N1367" s="749"/>
      <c r="O1367" s="749"/>
    </row>
    <row r="1368" spans="3:15">
      <c r="C1368" s="739">
        <f>IF(D1344="","-",+C1367+1)</f>
        <v>2042</v>
      </c>
      <c r="D1368" s="691">
        <f t="shared" si="84"/>
        <v>0</v>
      </c>
      <c r="E1368" s="746">
        <f t="shared" si="86"/>
        <v>0</v>
      </c>
      <c r="F1368" s="691">
        <f t="shared" si="87"/>
        <v>0</v>
      </c>
      <c r="G1368" s="1230">
        <f t="shared" si="88"/>
        <v>0</v>
      </c>
      <c r="H1368" s="1233">
        <f t="shared" si="89"/>
        <v>0</v>
      </c>
      <c r="I1368" s="743">
        <f t="shared" si="85"/>
        <v>0</v>
      </c>
      <c r="J1368" s="743"/>
      <c r="K1368" s="869"/>
      <c r="L1368" s="749"/>
      <c r="M1368" s="869"/>
      <c r="N1368" s="749"/>
      <c r="O1368" s="749"/>
    </row>
    <row r="1369" spans="3:15">
      <c r="C1369" s="739">
        <f>IF(D1344="","-",+C1368+1)</f>
        <v>2043</v>
      </c>
      <c r="D1369" s="691">
        <f t="shared" si="84"/>
        <v>0</v>
      </c>
      <c r="E1369" s="746">
        <f t="shared" si="86"/>
        <v>0</v>
      </c>
      <c r="F1369" s="691">
        <f t="shared" si="87"/>
        <v>0</v>
      </c>
      <c r="G1369" s="1230">
        <f t="shared" si="88"/>
        <v>0</v>
      </c>
      <c r="H1369" s="1233">
        <f t="shared" si="89"/>
        <v>0</v>
      </c>
      <c r="I1369" s="743">
        <f t="shared" si="85"/>
        <v>0</v>
      </c>
      <c r="J1369" s="743"/>
      <c r="K1369" s="869"/>
      <c r="L1369" s="749"/>
      <c r="M1369" s="869"/>
      <c r="N1369" s="749"/>
      <c r="O1369" s="749"/>
    </row>
    <row r="1370" spans="3:15">
      <c r="C1370" s="739">
        <f>IF(D1344="","-",+C1369+1)</f>
        <v>2044</v>
      </c>
      <c r="D1370" s="691">
        <f t="shared" si="84"/>
        <v>0</v>
      </c>
      <c r="E1370" s="746">
        <f t="shared" si="86"/>
        <v>0</v>
      </c>
      <c r="F1370" s="691">
        <f t="shared" si="87"/>
        <v>0</v>
      </c>
      <c r="G1370" s="1230">
        <f t="shared" si="88"/>
        <v>0</v>
      </c>
      <c r="H1370" s="1233">
        <f t="shared" si="89"/>
        <v>0</v>
      </c>
      <c r="I1370" s="743">
        <f t="shared" si="85"/>
        <v>0</v>
      </c>
      <c r="J1370" s="743"/>
      <c r="K1370" s="869"/>
      <c r="L1370" s="749"/>
      <c r="M1370" s="869"/>
      <c r="N1370" s="749"/>
      <c r="O1370" s="749"/>
    </row>
    <row r="1371" spans="3:15">
      <c r="C1371" s="739">
        <f>IF(D1344="","-",+C1370+1)</f>
        <v>2045</v>
      </c>
      <c r="D1371" s="691">
        <f t="shared" si="84"/>
        <v>0</v>
      </c>
      <c r="E1371" s="746">
        <f t="shared" si="86"/>
        <v>0</v>
      </c>
      <c r="F1371" s="691">
        <f t="shared" si="87"/>
        <v>0</v>
      </c>
      <c r="G1371" s="1230">
        <f t="shared" si="88"/>
        <v>0</v>
      </c>
      <c r="H1371" s="1233">
        <f t="shared" si="89"/>
        <v>0</v>
      </c>
      <c r="I1371" s="743">
        <f t="shared" si="85"/>
        <v>0</v>
      </c>
      <c r="J1371" s="743"/>
      <c r="K1371" s="869"/>
      <c r="L1371" s="749"/>
      <c r="M1371" s="869"/>
      <c r="N1371" s="749"/>
      <c r="O1371" s="749"/>
    </row>
    <row r="1372" spans="3:15">
      <c r="C1372" s="739">
        <f>IF(D1344="","-",+C1371+1)</f>
        <v>2046</v>
      </c>
      <c r="D1372" s="691">
        <f t="shared" si="84"/>
        <v>0</v>
      </c>
      <c r="E1372" s="746">
        <f t="shared" si="86"/>
        <v>0</v>
      </c>
      <c r="F1372" s="691">
        <f t="shared" si="87"/>
        <v>0</v>
      </c>
      <c r="G1372" s="1230">
        <f t="shared" si="88"/>
        <v>0</v>
      </c>
      <c r="H1372" s="1233">
        <f t="shared" si="89"/>
        <v>0</v>
      </c>
      <c r="I1372" s="743">
        <f t="shared" si="85"/>
        <v>0</v>
      </c>
      <c r="J1372" s="743"/>
      <c r="K1372" s="869"/>
      <c r="L1372" s="749"/>
      <c r="M1372" s="869"/>
      <c r="N1372" s="749"/>
      <c r="O1372" s="749"/>
    </row>
    <row r="1373" spans="3:15">
      <c r="C1373" s="739">
        <f>IF(D1344="","-",+C1372+1)</f>
        <v>2047</v>
      </c>
      <c r="D1373" s="691">
        <f t="shared" si="84"/>
        <v>0</v>
      </c>
      <c r="E1373" s="746">
        <f t="shared" si="86"/>
        <v>0</v>
      </c>
      <c r="F1373" s="691">
        <f t="shared" si="87"/>
        <v>0</v>
      </c>
      <c r="G1373" s="1230">
        <f t="shared" si="88"/>
        <v>0</v>
      </c>
      <c r="H1373" s="1233">
        <f t="shared" si="89"/>
        <v>0</v>
      </c>
      <c r="I1373" s="743">
        <f t="shared" si="85"/>
        <v>0</v>
      </c>
      <c r="J1373" s="743"/>
      <c r="K1373" s="869"/>
      <c r="L1373" s="749"/>
      <c r="M1373" s="869"/>
      <c r="N1373" s="749"/>
      <c r="O1373" s="749"/>
    </row>
    <row r="1374" spans="3:15">
      <c r="C1374" s="739">
        <f>IF(D1344="","-",+C1373+1)</f>
        <v>2048</v>
      </c>
      <c r="D1374" s="691">
        <f t="shared" si="84"/>
        <v>0</v>
      </c>
      <c r="E1374" s="746">
        <f t="shared" si="86"/>
        <v>0</v>
      </c>
      <c r="F1374" s="691">
        <f t="shared" si="87"/>
        <v>0</v>
      </c>
      <c r="G1374" s="1230">
        <f t="shared" si="88"/>
        <v>0</v>
      </c>
      <c r="H1374" s="1233">
        <f t="shared" si="89"/>
        <v>0</v>
      </c>
      <c r="I1374" s="743">
        <f t="shared" si="85"/>
        <v>0</v>
      </c>
      <c r="J1374" s="743"/>
      <c r="K1374" s="869"/>
      <c r="L1374" s="749"/>
      <c r="M1374" s="869"/>
      <c r="N1374" s="749"/>
      <c r="O1374" s="749"/>
    </row>
    <row r="1375" spans="3:15">
      <c r="C1375" s="739">
        <f>IF(D1344="","-",+C1374+1)</f>
        <v>2049</v>
      </c>
      <c r="D1375" s="691">
        <f t="shared" si="84"/>
        <v>0</v>
      </c>
      <c r="E1375" s="746">
        <f t="shared" si="86"/>
        <v>0</v>
      </c>
      <c r="F1375" s="691">
        <f t="shared" si="87"/>
        <v>0</v>
      </c>
      <c r="G1375" s="1230">
        <f t="shared" si="88"/>
        <v>0</v>
      </c>
      <c r="H1375" s="1233">
        <f t="shared" si="89"/>
        <v>0</v>
      </c>
      <c r="I1375" s="743">
        <f t="shared" si="85"/>
        <v>0</v>
      </c>
      <c r="J1375" s="743"/>
      <c r="K1375" s="869"/>
      <c r="L1375" s="749"/>
      <c r="M1375" s="869"/>
      <c r="N1375" s="749"/>
      <c r="O1375" s="749"/>
    </row>
    <row r="1376" spans="3:15">
      <c r="C1376" s="739">
        <f>IF(D1344="","-",+C1375+1)</f>
        <v>2050</v>
      </c>
      <c r="D1376" s="691">
        <f t="shared" si="84"/>
        <v>0</v>
      </c>
      <c r="E1376" s="746">
        <f t="shared" si="86"/>
        <v>0</v>
      </c>
      <c r="F1376" s="691">
        <f t="shared" si="87"/>
        <v>0</v>
      </c>
      <c r="G1376" s="1230">
        <f t="shared" si="88"/>
        <v>0</v>
      </c>
      <c r="H1376" s="1233">
        <f t="shared" si="89"/>
        <v>0</v>
      </c>
      <c r="I1376" s="743">
        <f t="shared" si="85"/>
        <v>0</v>
      </c>
      <c r="J1376" s="743"/>
      <c r="K1376" s="869"/>
      <c r="L1376" s="749"/>
      <c r="M1376" s="869"/>
      <c r="N1376" s="749"/>
      <c r="O1376" s="749"/>
    </row>
    <row r="1377" spans="3:15">
      <c r="C1377" s="739">
        <f>IF(D1344="","-",+C1376+1)</f>
        <v>2051</v>
      </c>
      <c r="D1377" s="691">
        <f t="shared" si="84"/>
        <v>0</v>
      </c>
      <c r="E1377" s="746">
        <f t="shared" si="86"/>
        <v>0</v>
      </c>
      <c r="F1377" s="691">
        <f t="shared" si="87"/>
        <v>0</v>
      </c>
      <c r="G1377" s="1230">
        <f t="shared" si="88"/>
        <v>0</v>
      </c>
      <c r="H1377" s="1233">
        <f t="shared" si="89"/>
        <v>0</v>
      </c>
      <c r="I1377" s="743">
        <f t="shared" si="85"/>
        <v>0</v>
      </c>
      <c r="J1377" s="743"/>
      <c r="K1377" s="869"/>
      <c r="L1377" s="749"/>
      <c r="M1377" s="869"/>
      <c r="N1377" s="749"/>
      <c r="O1377" s="749"/>
    </row>
    <row r="1378" spans="3:15">
      <c r="C1378" s="739">
        <f>IF(D1344="","-",+C1377+1)</f>
        <v>2052</v>
      </c>
      <c r="D1378" s="691">
        <f t="shared" si="84"/>
        <v>0</v>
      </c>
      <c r="E1378" s="746">
        <f t="shared" si="86"/>
        <v>0</v>
      </c>
      <c r="F1378" s="691">
        <f t="shared" si="87"/>
        <v>0</v>
      </c>
      <c r="G1378" s="1230">
        <f t="shared" si="88"/>
        <v>0</v>
      </c>
      <c r="H1378" s="1233">
        <f t="shared" si="89"/>
        <v>0</v>
      </c>
      <c r="I1378" s="743">
        <f t="shared" si="85"/>
        <v>0</v>
      </c>
      <c r="J1378" s="743"/>
      <c r="K1378" s="869"/>
      <c r="L1378" s="749"/>
      <c r="M1378" s="869"/>
      <c r="N1378" s="749"/>
      <c r="O1378" s="749"/>
    </row>
    <row r="1379" spans="3:15">
      <c r="C1379" s="739">
        <f>IF(D1344="","-",+C1378+1)</f>
        <v>2053</v>
      </c>
      <c r="D1379" s="691">
        <f t="shared" si="84"/>
        <v>0</v>
      </c>
      <c r="E1379" s="746">
        <f t="shared" si="86"/>
        <v>0</v>
      </c>
      <c r="F1379" s="691">
        <f t="shared" si="87"/>
        <v>0</v>
      </c>
      <c r="G1379" s="1230">
        <f t="shared" si="88"/>
        <v>0</v>
      </c>
      <c r="H1379" s="1233">
        <f t="shared" si="89"/>
        <v>0</v>
      </c>
      <c r="I1379" s="743">
        <f t="shared" si="85"/>
        <v>0</v>
      </c>
      <c r="J1379" s="743"/>
      <c r="K1379" s="869"/>
      <c r="L1379" s="749"/>
      <c r="M1379" s="869"/>
      <c r="N1379" s="749"/>
      <c r="O1379" s="749"/>
    </row>
    <row r="1380" spans="3:15">
      <c r="C1380" s="739">
        <f>IF(D1344="","-",+C1379+1)</f>
        <v>2054</v>
      </c>
      <c r="D1380" s="691">
        <f t="shared" si="84"/>
        <v>0</v>
      </c>
      <c r="E1380" s="746">
        <f t="shared" si="86"/>
        <v>0</v>
      </c>
      <c r="F1380" s="691">
        <f t="shared" si="87"/>
        <v>0</v>
      </c>
      <c r="G1380" s="1230">
        <f t="shared" si="88"/>
        <v>0</v>
      </c>
      <c r="H1380" s="1233">
        <f t="shared" si="89"/>
        <v>0</v>
      </c>
      <c r="I1380" s="743">
        <f t="shared" si="85"/>
        <v>0</v>
      </c>
      <c r="J1380" s="743"/>
      <c r="K1380" s="869"/>
      <c r="L1380" s="749"/>
      <c r="M1380" s="869"/>
      <c r="N1380" s="749"/>
      <c r="O1380" s="749"/>
    </row>
    <row r="1381" spans="3:15">
      <c r="C1381" s="739">
        <f>IF(D1344="","-",+C1380+1)</f>
        <v>2055</v>
      </c>
      <c r="D1381" s="691">
        <f t="shared" si="84"/>
        <v>0</v>
      </c>
      <c r="E1381" s="746">
        <f t="shared" si="86"/>
        <v>0</v>
      </c>
      <c r="F1381" s="691">
        <f t="shared" si="87"/>
        <v>0</v>
      </c>
      <c r="G1381" s="1230">
        <f t="shared" si="88"/>
        <v>0</v>
      </c>
      <c r="H1381" s="1233">
        <f t="shared" si="89"/>
        <v>0</v>
      </c>
      <c r="I1381" s="743">
        <f t="shared" si="85"/>
        <v>0</v>
      </c>
      <c r="J1381" s="743"/>
      <c r="K1381" s="869"/>
      <c r="L1381" s="749"/>
      <c r="M1381" s="869"/>
      <c r="N1381" s="749"/>
      <c r="O1381" s="749"/>
    </row>
    <row r="1382" spans="3:15">
      <c r="C1382" s="739">
        <f>IF(D1344="","-",+C1381+1)</f>
        <v>2056</v>
      </c>
      <c r="D1382" s="691">
        <f t="shared" si="84"/>
        <v>0</v>
      </c>
      <c r="E1382" s="746">
        <f t="shared" si="86"/>
        <v>0</v>
      </c>
      <c r="F1382" s="691">
        <f t="shared" si="87"/>
        <v>0</v>
      </c>
      <c r="G1382" s="1230">
        <f t="shared" si="88"/>
        <v>0</v>
      </c>
      <c r="H1382" s="1233">
        <f t="shared" si="89"/>
        <v>0</v>
      </c>
      <c r="I1382" s="743">
        <f t="shared" si="85"/>
        <v>0</v>
      </c>
      <c r="J1382" s="743"/>
      <c r="K1382" s="869"/>
      <c r="L1382" s="749"/>
      <c r="M1382" s="869"/>
      <c r="N1382" s="749"/>
      <c r="O1382" s="749"/>
    </row>
    <row r="1383" spans="3:15">
      <c r="C1383" s="739">
        <f>IF(D1344="","-",+C1382+1)</f>
        <v>2057</v>
      </c>
      <c r="D1383" s="691">
        <f t="shared" si="84"/>
        <v>0</v>
      </c>
      <c r="E1383" s="746">
        <f t="shared" si="86"/>
        <v>0</v>
      </c>
      <c r="F1383" s="691">
        <f t="shared" si="87"/>
        <v>0</v>
      </c>
      <c r="G1383" s="1230">
        <f t="shared" si="88"/>
        <v>0</v>
      </c>
      <c r="H1383" s="1233">
        <f t="shared" si="89"/>
        <v>0</v>
      </c>
      <c r="I1383" s="743">
        <f t="shared" si="85"/>
        <v>0</v>
      </c>
      <c r="J1383" s="743"/>
      <c r="K1383" s="869"/>
      <c r="L1383" s="749"/>
      <c r="M1383" s="869"/>
      <c r="N1383" s="749"/>
      <c r="O1383" s="749"/>
    </row>
    <row r="1384" spans="3:15">
      <c r="C1384" s="739">
        <f>IF(D1344="","-",+C1383+1)</f>
        <v>2058</v>
      </c>
      <c r="D1384" s="691">
        <f t="shared" si="84"/>
        <v>0</v>
      </c>
      <c r="E1384" s="746">
        <f t="shared" si="86"/>
        <v>0</v>
      </c>
      <c r="F1384" s="691">
        <f t="shared" si="87"/>
        <v>0</v>
      </c>
      <c r="G1384" s="1230">
        <f t="shared" si="88"/>
        <v>0</v>
      </c>
      <c r="H1384" s="1233">
        <f t="shared" si="89"/>
        <v>0</v>
      </c>
      <c r="I1384" s="743">
        <f t="shared" si="85"/>
        <v>0</v>
      </c>
      <c r="J1384" s="743"/>
      <c r="K1384" s="869"/>
      <c r="L1384" s="749"/>
      <c r="M1384" s="869"/>
      <c r="N1384" s="749"/>
      <c r="O1384" s="749"/>
    </row>
    <row r="1385" spans="3:15">
      <c r="C1385" s="739">
        <f>IF(D1344="","-",+C1384+1)</f>
        <v>2059</v>
      </c>
      <c r="D1385" s="691">
        <f t="shared" si="84"/>
        <v>0</v>
      </c>
      <c r="E1385" s="746">
        <f t="shared" si="86"/>
        <v>0</v>
      </c>
      <c r="F1385" s="691">
        <f t="shared" si="87"/>
        <v>0</v>
      </c>
      <c r="G1385" s="1230">
        <f t="shared" si="88"/>
        <v>0</v>
      </c>
      <c r="H1385" s="1233">
        <f t="shared" si="89"/>
        <v>0</v>
      </c>
      <c r="I1385" s="743">
        <f t="shared" si="85"/>
        <v>0</v>
      </c>
      <c r="J1385" s="743"/>
      <c r="K1385" s="869"/>
      <c r="L1385" s="749"/>
      <c r="M1385" s="869"/>
      <c r="N1385" s="749"/>
      <c r="O1385" s="749"/>
    </row>
    <row r="1386" spans="3:15">
      <c r="C1386" s="739">
        <f>IF(D1344="","-",+C1385+1)</f>
        <v>2060</v>
      </c>
      <c r="D1386" s="691">
        <f t="shared" si="84"/>
        <v>0</v>
      </c>
      <c r="E1386" s="746">
        <f t="shared" si="86"/>
        <v>0</v>
      </c>
      <c r="F1386" s="691">
        <f t="shared" si="87"/>
        <v>0</v>
      </c>
      <c r="G1386" s="1230">
        <f t="shared" si="88"/>
        <v>0</v>
      </c>
      <c r="H1386" s="1233">
        <f t="shared" si="89"/>
        <v>0</v>
      </c>
      <c r="I1386" s="743">
        <f t="shared" si="85"/>
        <v>0</v>
      </c>
      <c r="J1386" s="743"/>
      <c r="K1386" s="869"/>
      <c r="L1386" s="749"/>
      <c r="M1386" s="869"/>
      <c r="N1386" s="749"/>
      <c r="O1386" s="749"/>
    </row>
    <row r="1387" spans="3:15">
      <c r="C1387" s="739">
        <f>IF(D1344="","-",+C1386+1)</f>
        <v>2061</v>
      </c>
      <c r="D1387" s="691">
        <f t="shared" si="84"/>
        <v>0</v>
      </c>
      <c r="E1387" s="746">
        <f t="shared" si="86"/>
        <v>0</v>
      </c>
      <c r="F1387" s="691">
        <f t="shared" si="87"/>
        <v>0</v>
      </c>
      <c r="G1387" s="1230">
        <f t="shared" si="88"/>
        <v>0</v>
      </c>
      <c r="H1387" s="1233">
        <f t="shared" si="89"/>
        <v>0</v>
      </c>
      <c r="I1387" s="743">
        <f t="shared" si="85"/>
        <v>0</v>
      </c>
      <c r="J1387" s="743"/>
      <c r="K1387" s="869"/>
      <c r="L1387" s="749"/>
      <c r="M1387" s="869"/>
      <c r="N1387" s="749"/>
      <c r="O1387" s="749"/>
    </row>
    <row r="1388" spans="3:15">
      <c r="C1388" s="739">
        <f>IF(D1344="","-",+C1387+1)</f>
        <v>2062</v>
      </c>
      <c r="D1388" s="691">
        <f t="shared" si="84"/>
        <v>0</v>
      </c>
      <c r="E1388" s="746">
        <f t="shared" si="86"/>
        <v>0</v>
      </c>
      <c r="F1388" s="691">
        <f t="shared" si="87"/>
        <v>0</v>
      </c>
      <c r="G1388" s="1230">
        <f t="shared" si="88"/>
        <v>0</v>
      </c>
      <c r="H1388" s="1233">
        <f t="shared" si="89"/>
        <v>0</v>
      </c>
      <c r="I1388" s="743">
        <f t="shared" si="85"/>
        <v>0</v>
      </c>
      <c r="J1388" s="743"/>
      <c r="K1388" s="869"/>
      <c r="L1388" s="749"/>
      <c r="M1388" s="869"/>
      <c r="N1388" s="749"/>
      <c r="O1388" s="749"/>
    </row>
    <row r="1389" spans="3:15">
      <c r="C1389" s="739">
        <f>IF(D1344="","-",+C1388+1)</f>
        <v>2063</v>
      </c>
      <c r="D1389" s="691">
        <f t="shared" si="84"/>
        <v>0</v>
      </c>
      <c r="E1389" s="746">
        <f t="shared" si="86"/>
        <v>0</v>
      </c>
      <c r="F1389" s="691">
        <f t="shared" si="87"/>
        <v>0</v>
      </c>
      <c r="G1389" s="1230">
        <f t="shared" si="88"/>
        <v>0</v>
      </c>
      <c r="H1389" s="1233">
        <f t="shared" si="89"/>
        <v>0</v>
      </c>
      <c r="I1389" s="743">
        <f t="shared" si="85"/>
        <v>0</v>
      </c>
      <c r="J1389" s="743"/>
      <c r="K1389" s="869"/>
      <c r="L1389" s="749"/>
      <c r="M1389" s="869"/>
      <c r="N1389" s="749"/>
      <c r="O1389" s="749"/>
    </row>
    <row r="1390" spans="3:15">
      <c r="C1390" s="739">
        <f>IF(D1344="","-",+C1389+1)</f>
        <v>2064</v>
      </c>
      <c r="D1390" s="691">
        <f t="shared" si="84"/>
        <v>0</v>
      </c>
      <c r="E1390" s="746">
        <f t="shared" si="86"/>
        <v>0</v>
      </c>
      <c r="F1390" s="691">
        <f t="shared" si="87"/>
        <v>0</v>
      </c>
      <c r="G1390" s="1230">
        <f t="shared" si="88"/>
        <v>0</v>
      </c>
      <c r="H1390" s="1233">
        <f t="shared" si="89"/>
        <v>0</v>
      </c>
      <c r="I1390" s="743">
        <f t="shared" si="85"/>
        <v>0</v>
      </c>
      <c r="J1390" s="743"/>
      <c r="K1390" s="869"/>
      <c r="L1390" s="749"/>
      <c r="M1390" s="869"/>
      <c r="N1390" s="749"/>
      <c r="O1390" s="749"/>
    </row>
    <row r="1391" spans="3:15">
      <c r="C1391" s="739">
        <f>IF(D1344="","-",+C1390+1)</f>
        <v>2065</v>
      </c>
      <c r="D1391" s="691">
        <f t="shared" si="84"/>
        <v>0</v>
      </c>
      <c r="E1391" s="746">
        <f t="shared" si="86"/>
        <v>0</v>
      </c>
      <c r="F1391" s="691">
        <f t="shared" si="87"/>
        <v>0</v>
      </c>
      <c r="G1391" s="1230">
        <f t="shared" si="88"/>
        <v>0</v>
      </c>
      <c r="H1391" s="1233">
        <f t="shared" si="89"/>
        <v>0</v>
      </c>
      <c r="I1391" s="743">
        <f t="shared" si="85"/>
        <v>0</v>
      </c>
      <c r="J1391" s="743"/>
      <c r="K1391" s="869"/>
      <c r="L1391" s="749"/>
      <c r="M1391" s="869"/>
      <c r="N1391" s="749"/>
      <c r="O1391" s="749"/>
    </row>
    <row r="1392" spans="3:15">
      <c r="C1392" s="739">
        <f>IF(D1344="","-",+C1391+1)</f>
        <v>2066</v>
      </c>
      <c r="D1392" s="691">
        <f t="shared" si="84"/>
        <v>0</v>
      </c>
      <c r="E1392" s="746">
        <f t="shared" si="86"/>
        <v>0</v>
      </c>
      <c r="F1392" s="691">
        <f t="shared" si="87"/>
        <v>0</v>
      </c>
      <c r="G1392" s="1230">
        <f t="shared" si="88"/>
        <v>0</v>
      </c>
      <c r="H1392" s="1233">
        <f t="shared" si="89"/>
        <v>0</v>
      </c>
      <c r="I1392" s="743">
        <f t="shared" si="85"/>
        <v>0</v>
      </c>
      <c r="J1392" s="743"/>
      <c r="K1392" s="869"/>
      <c r="L1392" s="749"/>
      <c r="M1392" s="869"/>
      <c r="N1392" s="749"/>
      <c r="O1392" s="749"/>
    </row>
    <row r="1393" spans="3:15">
      <c r="C1393" s="739">
        <f>IF(D1344="","-",+C1392+1)</f>
        <v>2067</v>
      </c>
      <c r="D1393" s="691">
        <f t="shared" si="84"/>
        <v>0</v>
      </c>
      <c r="E1393" s="746">
        <f t="shared" si="86"/>
        <v>0</v>
      </c>
      <c r="F1393" s="691">
        <f t="shared" si="87"/>
        <v>0</v>
      </c>
      <c r="G1393" s="1230">
        <f t="shared" si="88"/>
        <v>0</v>
      </c>
      <c r="H1393" s="1233">
        <f t="shared" si="89"/>
        <v>0</v>
      </c>
      <c r="I1393" s="743">
        <f t="shared" si="85"/>
        <v>0</v>
      </c>
      <c r="J1393" s="743"/>
      <c r="K1393" s="869"/>
      <c r="L1393" s="749"/>
      <c r="M1393" s="869"/>
      <c r="N1393" s="749"/>
      <c r="O1393" s="749"/>
    </row>
    <row r="1394" spans="3:15">
      <c r="C1394" s="739">
        <f>IF(D1344="","-",+C1393+1)</f>
        <v>2068</v>
      </c>
      <c r="D1394" s="691">
        <f t="shared" si="84"/>
        <v>0</v>
      </c>
      <c r="E1394" s="746">
        <f t="shared" si="86"/>
        <v>0</v>
      </c>
      <c r="F1394" s="691">
        <f t="shared" si="87"/>
        <v>0</v>
      </c>
      <c r="G1394" s="1230">
        <f t="shared" si="88"/>
        <v>0</v>
      </c>
      <c r="H1394" s="1233">
        <f t="shared" si="89"/>
        <v>0</v>
      </c>
      <c r="I1394" s="743">
        <f t="shared" si="85"/>
        <v>0</v>
      </c>
      <c r="J1394" s="743"/>
      <c r="K1394" s="869"/>
      <c r="L1394" s="749"/>
      <c r="M1394" s="869"/>
      <c r="N1394" s="749"/>
      <c r="O1394" s="749"/>
    </row>
    <row r="1395" spans="3:15">
      <c r="C1395" s="739">
        <f>IF(D1344="","-",+C1394+1)</f>
        <v>2069</v>
      </c>
      <c r="D1395" s="691">
        <f t="shared" si="84"/>
        <v>0</v>
      </c>
      <c r="E1395" s="746">
        <f t="shared" si="86"/>
        <v>0</v>
      </c>
      <c r="F1395" s="691">
        <f t="shared" si="87"/>
        <v>0</v>
      </c>
      <c r="G1395" s="1230">
        <f t="shared" si="88"/>
        <v>0</v>
      </c>
      <c r="H1395" s="1233">
        <f t="shared" si="89"/>
        <v>0</v>
      </c>
      <c r="I1395" s="743">
        <f t="shared" si="85"/>
        <v>0</v>
      </c>
      <c r="J1395" s="743"/>
      <c r="K1395" s="869"/>
      <c r="L1395" s="749"/>
      <c r="M1395" s="869"/>
      <c r="N1395" s="749"/>
      <c r="O1395" s="749"/>
    </row>
    <row r="1396" spans="3:15">
      <c r="C1396" s="739">
        <f>IF(D1344="","-",+C1395+1)</f>
        <v>2070</v>
      </c>
      <c r="D1396" s="691">
        <f t="shared" si="84"/>
        <v>0</v>
      </c>
      <c r="E1396" s="746">
        <f t="shared" si="86"/>
        <v>0</v>
      </c>
      <c r="F1396" s="691">
        <f t="shared" si="87"/>
        <v>0</v>
      </c>
      <c r="G1396" s="1230">
        <f t="shared" si="88"/>
        <v>0</v>
      </c>
      <c r="H1396" s="1233">
        <f t="shared" si="89"/>
        <v>0</v>
      </c>
      <c r="I1396" s="743">
        <f t="shared" si="85"/>
        <v>0</v>
      </c>
      <c r="J1396" s="743"/>
      <c r="K1396" s="869"/>
      <c r="L1396" s="749"/>
      <c r="M1396" s="869"/>
      <c r="N1396" s="749"/>
      <c r="O1396" s="749"/>
    </row>
    <row r="1397" spans="3:15">
      <c r="C1397" s="739">
        <f>IF(D1344="","-",+C1396+1)</f>
        <v>2071</v>
      </c>
      <c r="D1397" s="691">
        <f t="shared" si="84"/>
        <v>0</v>
      </c>
      <c r="E1397" s="746">
        <f t="shared" si="86"/>
        <v>0</v>
      </c>
      <c r="F1397" s="691">
        <f t="shared" si="87"/>
        <v>0</v>
      </c>
      <c r="G1397" s="1230">
        <f t="shared" si="88"/>
        <v>0</v>
      </c>
      <c r="H1397" s="1233">
        <f t="shared" si="89"/>
        <v>0</v>
      </c>
      <c r="I1397" s="743">
        <f t="shared" si="85"/>
        <v>0</v>
      </c>
      <c r="J1397" s="743"/>
      <c r="K1397" s="869"/>
      <c r="L1397" s="749"/>
      <c r="M1397" s="869"/>
      <c r="N1397" s="749"/>
      <c r="O1397" s="749"/>
    </row>
    <row r="1398" spans="3:15">
      <c r="C1398" s="739">
        <f>IF(D1344="","-",+C1397+1)</f>
        <v>2072</v>
      </c>
      <c r="D1398" s="691">
        <f t="shared" si="84"/>
        <v>0</v>
      </c>
      <c r="E1398" s="746">
        <f t="shared" si="86"/>
        <v>0</v>
      </c>
      <c r="F1398" s="691">
        <f t="shared" si="87"/>
        <v>0</v>
      </c>
      <c r="G1398" s="1230">
        <f t="shared" si="88"/>
        <v>0</v>
      </c>
      <c r="H1398" s="1233">
        <f t="shared" si="89"/>
        <v>0</v>
      </c>
      <c r="I1398" s="743">
        <f t="shared" si="85"/>
        <v>0</v>
      </c>
      <c r="J1398" s="743"/>
      <c r="K1398" s="869"/>
      <c r="L1398" s="749"/>
      <c r="M1398" s="869"/>
      <c r="N1398" s="749"/>
      <c r="O1398" s="749"/>
    </row>
    <row r="1399" spans="3:15">
      <c r="C1399" s="739">
        <f>IF(D1344="","-",+C1398+1)</f>
        <v>2073</v>
      </c>
      <c r="D1399" s="691">
        <f t="shared" si="84"/>
        <v>0</v>
      </c>
      <c r="E1399" s="746">
        <f t="shared" si="86"/>
        <v>0</v>
      </c>
      <c r="F1399" s="691">
        <f t="shared" si="87"/>
        <v>0</v>
      </c>
      <c r="G1399" s="1230">
        <f t="shared" si="88"/>
        <v>0</v>
      </c>
      <c r="H1399" s="1233">
        <f t="shared" si="89"/>
        <v>0</v>
      </c>
      <c r="I1399" s="743">
        <f t="shared" si="85"/>
        <v>0</v>
      </c>
      <c r="J1399" s="743"/>
      <c r="K1399" s="869"/>
      <c r="L1399" s="749"/>
      <c r="M1399" s="869"/>
      <c r="N1399" s="749"/>
      <c r="O1399" s="749"/>
    </row>
    <row r="1400" spans="3:15">
      <c r="C1400" s="739">
        <f>IF(D1344="","-",+C1399+1)</f>
        <v>2074</v>
      </c>
      <c r="D1400" s="691">
        <f t="shared" si="84"/>
        <v>0</v>
      </c>
      <c r="E1400" s="746">
        <f t="shared" si="86"/>
        <v>0</v>
      </c>
      <c r="F1400" s="691">
        <f t="shared" si="87"/>
        <v>0</v>
      </c>
      <c r="G1400" s="1230">
        <f t="shared" si="88"/>
        <v>0</v>
      </c>
      <c r="H1400" s="1233">
        <f t="shared" si="89"/>
        <v>0</v>
      </c>
      <c r="I1400" s="743">
        <f t="shared" si="85"/>
        <v>0</v>
      </c>
      <c r="J1400" s="743"/>
      <c r="K1400" s="869"/>
      <c r="L1400" s="749"/>
      <c r="M1400" s="869"/>
      <c r="N1400" s="749"/>
      <c r="O1400" s="749"/>
    </row>
    <row r="1401" spans="3:15">
      <c r="C1401" s="739">
        <f>IF(D1344="","-",+C1400+1)</f>
        <v>2075</v>
      </c>
      <c r="D1401" s="691">
        <f t="shared" si="84"/>
        <v>0</v>
      </c>
      <c r="E1401" s="746">
        <f t="shared" si="86"/>
        <v>0</v>
      </c>
      <c r="F1401" s="691">
        <f t="shared" si="87"/>
        <v>0</v>
      </c>
      <c r="G1401" s="1230">
        <f t="shared" si="88"/>
        <v>0</v>
      </c>
      <c r="H1401" s="1233">
        <f t="shared" si="89"/>
        <v>0</v>
      </c>
      <c r="I1401" s="743">
        <f t="shared" si="85"/>
        <v>0</v>
      </c>
      <c r="J1401" s="743"/>
      <c r="K1401" s="869"/>
      <c r="L1401" s="749"/>
      <c r="M1401" s="869"/>
      <c r="N1401" s="749"/>
      <c r="O1401" s="749"/>
    </row>
    <row r="1402" spans="3:15">
      <c r="C1402" s="739">
        <f>IF(D1344="","-",+C1401+1)</f>
        <v>2076</v>
      </c>
      <c r="D1402" s="691">
        <f t="shared" si="84"/>
        <v>0</v>
      </c>
      <c r="E1402" s="746">
        <f t="shared" si="86"/>
        <v>0</v>
      </c>
      <c r="F1402" s="691">
        <f t="shared" si="87"/>
        <v>0</v>
      </c>
      <c r="G1402" s="1230">
        <f t="shared" si="88"/>
        <v>0</v>
      </c>
      <c r="H1402" s="1233">
        <f t="shared" si="89"/>
        <v>0</v>
      </c>
      <c r="I1402" s="743">
        <f t="shared" si="85"/>
        <v>0</v>
      </c>
      <c r="J1402" s="743"/>
      <c r="K1402" s="869"/>
      <c r="L1402" s="749"/>
      <c r="M1402" s="869"/>
      <c r="N1402" s="749"/>
      <c r="O1402" s="749"/>
    </row>
    <row r="1403" spans="3:15">
      <c r="C1403" s="739">
        <f>IF(D1344="","-",+C1402+1)</f>
        <v>2077</v>
      </c>
      <c r="D1403" s="691">
        <f t="shared" si="84"/>
        <v>0</v>
      </c>
      <c r="E1403" s="746">
        <f t="shared" si="86"/>
        <v>0</v>
      </c>
      <c r="F1403" s="691">
        <f t="shared" si="87"/>
        <v>0</v>
      </c>
      <c r="G1403" s="1230">
        <f t="shared" si="88"/>
        <v>0</v>
      </c>
      <c r="H1403" s="1233">
        <f t="shared" si="89"/>
        <v>0</v>
      </c>
      <c r="I1403" s="743">
        <f t="shared" si="85"/>
        <v>0</v>
      </c>
      <c r="J1403" s="743"/>
      <c r="K1403" s="869"/>
      <c r="L1403" s="749"/>
      <c r="M1403" s="869"/>
      <c r="N1403" s="749"/>
      <c r="O1403" s="749"/>
    </row>
    <row r="1404" spans="3:15">
      <c r="C1404" s="739">
        <f>IF(D1344="","-",+C1403+1)</f>
        <v>2078</v>
      </c>
      <c r="D1404" s="691">
        <f t="shared" si="84"/>
        <v>0</v>
      </c>
      <c r="E1404" s="746">
        <f t="shared" si="86"/>
        <v>0</v>
      </c>
      <c r="F1404" s="691">
        <f t="shared" si="87"/>
        <v>0</v>
      </c>
      <c r="G1404" s="1230">
        <f t="shared" si="88"/>
        <v>0</v>
      </c>
      <c r="H1404" s="1233">
        <f t="shared" si="89"/>
        <v>0</v>
      </c>
      <c r="I1404" s="743">
        <f t="shared" si="85"/>
        <v>0</v>
      </c>
      <c r="J1404" s="743"/>
      <c r="K1404" s="869"/>
      <c r="L1404" s="749"/>
      <c r="M1404" s="869"/>
      <c r="N1404" s="749"/>
      <c r="O1404" s="749"/>
    </row>
    <row r="1405" spans="3:15">
      <c r="C1405" s="739">
        <f>IF(D1344="","-",+C1404+1)</f>
        <v>2079</v>
      </c>
      <c r="D1405" s="691">
        <f t="shared" si="84"/>
        <v>0</v>
      </c>
      <c r="E1405" s="746">
        <f t="shared" si="86"/>
        <v>0</v>
      </c>
      <c r="F1405" s="691">
        <f t="shared" si="87"/>
        <v>0</v>
      </c>
      <c r="G1405" s="1230">
        <f t="shared" si="88"/>
        <v>0</v>
      </c>
      <c r="H1405" s="1233">
        <f t="shared" si="89"/>
        <v>0</v>
      </c>
      <c r="I1405" s="743">
        <f t="shared" si="85"/>
        <v>0</v>
      </c>
      <c r="J1405" s="743"/>
      <c r="K1405" s="869"/>
      <c r="L1405" s="749"/>
      <c r="M1405" s="869"/>
      <c r="N1405" s="749"/>
      <c r="O1405" s="749"/>
    </row>
    <row r="1406" spans="3:15">
      <c r="C1406" s="739">
        <f>IF(D1344="","-",+C1405+1)</f>
        <v>2080</v>
      </c>
      <c r="D1406" s="691">
        <f t="shared" si="84"/>
        <v>0</v>
      </c>
      <c r="E1406" s="746">
        <f t="shared" si="86"/>
        <v>0</v>
      </c>
      <c r="F1406" s="691">
        <f t="shared" si="87"/>
        <v>0</v>
      </c>
      <c r="G1406" s="1230">
        <f t="shared" si="88"/>
        <v>0</v>
      </c>
      <c r="H1406" s="1233">
        <f t="shared" si="89"/>
        <v>0</v>
      </c>
      <c r="I1406" s="743">
        <f t="shared" si="85"/>
        <v>0</v>
      </c>
      <c r="J1406" s="743"/>
      <c r="K1406" s="869"/>
      <c r="L1406" s="749"/>
      <c r="M1406" s="869"/>
      <c r="N1406" s="749"/>
      <c r="O1406" s="749"/>
    </row>
    <row r="1407" spans="3:15">
      <c r="C1407" s="739">
        <f>IF(D1344="","-",+C1406+1)</f>
        <v>2081</v>
      </c>
      <c r="D1407" s="691">
        <f t="shared" si="84"/>
        <v>0</v>
      </c>
      <c r="E1407" s="746">
        <f t="shared" si="86"/>
        <v>0</v>
      </c>
      <c r="F1407" s="691">
        <f t="shared" si="87"/>
        <v>0</v>
      </c>
      <c r="G1407" s="1230">
        <f t="shared" si="88"/>
        <v>0</v>
      </c>
      <c r="H1407" s="1233">
        <f t="shared" si="89"/>
        <v>0</v>
      </c>
      <c r="I1407" s="743">
        <f t="shared" si="85"/>
        <v>0</v>
      </c>
      <c r="J1407" s="743"/>
      <c r="K1407" s="869"/>
      <c r="L1407" s="749"/>
      <c r="M1407" s="869"/>
      <c r="N1407" s="749"/>
      <c r="O1407" s="749"/>
    </row>
    <row r="1408" spans="3:15">
      <c r="C1408" s="739">
        <f>IF(D1344="","-",+C1407+1)</f>
        <v>2082</v>
      </c>
      <c r="D1408" s="691">
        <f t="shared" si="84"/>
        <v>0</v>
      </c>
      <c r="E1408" s="746">
        <f t="shared" si="86"/>
        <v>0</v>
      </c>
      <c r="F1408" s="691">
        <f t="shared" si="87"/>
        <v>0</v>
      </c>
      <c r="G1408" s="1230">
        <f t="shared" si="88"/>
        <v>0</v>
      </c>
      <c r="H1408" s="1233">
        <f t="shared" si="89"/>
        <v>0</v>
      </c>
      <c r="I1408" s="743">
        <f t="shared" si="85"/>
        <v>0</v>
      </c>
      <c r="J1408" s="743"/>
      <c r="K1408" s="869"/>
      <c r="L1408" s="749"/>
      <c r="M1408" s="869"/>
      <c r="N1408" s="749"/>
      <c r="O1408" s="749"/>
    </row>
    <row r="1409" spans="1:15" ht="13.5" thickBot="1">
      <c r="C1409" s="750">
        <f>IF(D1344="","-",+C1408+1)</f>
        <v>2083</v>
      </c>
      <c r="D1409" s="751">
        <f t="shared" si="84"/>
        <v>0</v>
      </c>
      <c r="E1409" s="752">
        <f t="shared" si="86"/>
        <v>0</v>
      </c>
      <c r="F1409" s="1220">
        <f t="shared" si="87"/>
        <v>0</v>
      </c>
      <c r="G1409" s="1241">
        <f t="shared" si="88"/>
        <v>0</v>
      </c>
      <c r="H1409" s="1220">
        <f t="shared" si="89"/>
        <v>0</v>
      </c>
      <c r="I1409" s="754">
        <f t="shared" si="85"/>
        <v>0</v>
      </c>
      <c r="J1409" s="743"/>
      <c r="K1409" s="870"/>
      <c r="L1409" s="756"/>
      <c r="M1409" s="870"/>
      <c r="N1409" s="756"/>
      <c r="O1409" s="756"/>
    </row>
    <row r="1410" spans="1:15">
      <c r="C1410" s="691" t="s">
        <v>289</v>
      </c>
      <c r="D1410" s="1211"/>
      <c r="E1410" s="1211">
        <f>SUM(E1350:E1409)</f>
        <v>0</v>
      </c>
      <c r="F1410" s="1211"/>
      <c r="G1410" s="1211">
        <f>SUM(G1350:G1409)</f>
        <v>0</v>
      </c>
      <c r="H1410" s="1211">
        <f>SUM(H1350:H1409)</f>
        <v>0</v>
      </c>
      <c r="I1410" s="1211">
        <f>SUM(I1350:I1409)</f>
        <v>0</v>
      </c>
      <c r="J1410" s="1211"/>
      <c r="K1410" s="1211"/>
      <c r="L1410" s="1211"/>
      <c r="M1410" s="1211"/>
      <c r="N1410" s="1211"/>
      <c r="O1410" s="558"/>
    </row>
    <row r="1411" spans="1:15">
      <c r="D1411" s="581"/>
      <c r="E1411" s="558"/>
      <c r="F1411" s="558"/>
      <c r="G1411" s="558"/>
      <c r="H1411" s="1210"/>
      <c r="I1411" s="1210"/>
      <c r="J1411" s="1211"/>
      <c r="K1411" s="1210"/>
      <c r="L1411" s="1210"/>
      <c r="M1411" s="1210"/>
      <c r="N1411" s="1210"/>
      <c r="O1411" s="558"/>
    </row>
    <row r="1412" spans="1:15">
      <c r="C1412" s="1242" t="s">
        <v>926</v>
      </c>
      <c r="D1412" s="581"/>
      <c r="E1412" s="558"/>
      <c r="F1412" s="558"/>
      <c r="G1412" s="558"/>
      <c r="H1412" s="1210"/>
      <c r="I1412" s="1210"/>
      <c r="J1412" s="1211"/>
      <c r="K1412" s="1210"/>
      <c r="L1412" s="1210"/>
      <c r="M1412" s="1210"/>
      <c r="N1412" s="1210"/>
      <c r="O1412" s="558"/>
    </row>
    <row r="1413" spans="1:15">
      <c r="D1413" s="581"/>
      <c r="E1413" s="558"/>
      <c r="F1413" s="558"/>
      <c r="G1413" s="558"/>
      <c r="H1413" s="1210"/>
      <c r="I1413" s="1210"/>
      <c r="J1413" s="1211"/>
      <c r="K1413" s="1210"/>
      <c r="L1413" s="1210"/>
      <c r="M1413" s="1210"/>
      <c r="N1413" s="1210"/>
      <c r="O1413" s="558"/>
    </row>
    <row r="1414" spans="1:15">
      <c r="C1414" s="704" t="s">
        <v>927</v>
      </c>
      <c r="D1414" s="691"/>
      <c r="E1414" s="691"/>
      <c r="F1414" s="691"/>
      <c r="G1414" s="1211"/>
      <c r="H1414" s="1211"/>
      <c r="I1414" s="692"/>
      <c r="J1414" s="692"/>
      <c r="K1414" s="692"/>
      <c r="L1414" s="692"/>
      <c r="M1414" s="692"/>
      <c r="N1414" s="692"/>
      <c r="O1414" s="558"/>
    </row>
    <row r="1415" spans="1:15">
      <c r="C1415" s="690" t="s">
        <v>477</v>
      </c>
      <c r="D1415" s="691"/>
      <c r="E1415" s="691"/>
      <c r="F1415" s="691"/>
      <c r="G1415" s="1211"/>
      <c r="H1415" s="1211"/>
      <c r="I1415" s="692"/>
      <c r="J1415" s="692"/>
      <c r="K1415" s="692"/>
      <c r="L1415" s="692"/>
      <c r="M1415" s="692"/>
      <c r="N1415" s="692"/>
      <c r="O1415" s="558"/>
    </row>
    <row r="1416" spans="1:15">
      <c r="C1416" s="690" t="s">
        <v>290</v>
      </c>
      <c r="D1416" s="691"/>
      <c r="E1416" s="691"/>
      <c r="F1416" s="691"/>
      <c r="G1416" s="1211"/>
      <c r="H1416" s="1211"/>
      <c r="I1416" s="692"/>
      <c r="J1416" s="692"/>
      <c r="K1416" s="692"/>
      <c r="L1416" s="692"/>
      <c r="M1416" s="692"/>
      <c r="N1416" s="692"/>
      <c r="O1416" s="558"/>
    </row>
    <row r="1417" spans="1:15">
      <c r="C1417" s="690"/>
      <c r="D1417" s="691"/>
      <c r="E1417" s="691"/>
      <c r="F1417" s="691"/>
      <c r="G1417" s="1211"/>
      <c r="H1417" s="1211"/>
      <c r="I1417" s="692"/>
      <c r="J1417" s="692"/>
      <c r="K1417" s="692"/>
      <c r="L1417" s="692"/>
      <c r="M1417" s="692"/>
      <c r="N1417" s="692"/>
      <c r="O1417" s="558"/>
    </row>
    <row r="1418" spans="1:15">
      <c r="C1418" s="1601" t="s">
        <v>461</v>
      </c>
      <c r="D1418" s="1601"/>
      <c r="E1418" s="1601"/>
      <c r="F1418" s="1601"/>
      <c r="G1418" s="1601"/>
      <c r="H1418" s="1601"/>
      <c r="I1418" s="1601"/>
      <c r="J1418" s="1601"/>
      <c r="K1418" s="1601"/>
      <c r="L1418" s="1601"/>
      <c r="M1418" s="1601"/>
      <c r="N1418" s="1601"/>
      <c r="O1418" s="1601"/>
    </row>
    <row r="1419" spans="1:15">
      <c r="C1419" s="1601"/>
      <c r="D1419" s="1601"/>
      <c r="E1419" s="1601"/>
      <c r="F1419" s="1601"/>
      <c r="G1419" s="1601"/>
      <c r="H1419" s="1601"/>
      <c r="I1419" s="1601"/>
      <c r="J1419" s="1601"/>
      <c r="K1419" s="1601"/>
      <c r="L1419" s="1601"/>
      <c r="M1419" s="1601"/>
      <c r="N1419" s="1601"/>
      <c r="O1419" s="1601"/>
    </row>
    <row r="1420" spans="1:15" ht="20.25">
      <c r="A1420" s="693" t="s">
        <v>923</v>
      </c>
      <c r="B1420" s="594"/>
      <c r="C1420" s="673"/>
      <c r="D1420" s="581"/>
      <c r="E1420" s="558"/>
      <c r="F1420" s="663"/>
      <c r="G1420" s="558"/>
      <c r="H1420" s="1210"/>
      <c r="K1420" s="694"/>
      <c r="L1420" s="694"/>
      <c r="M1420" s="694"/>
      <c r="N1420" s="609" t="str">
        <f>"Page "&amp;P1420&amp;" of "</f>
        <v xml:space="preserve">Page  of </v>
      </c>
      <c r="O1420" s="610">
        <f>COUNT(P$6:P$59527)</f>
        <v>10</v>
      </c>
    </row>
    <row r="1421" spans="1:15">
      <c r="B1421" s="594"/>
      <c r="C1421" s="558"/>
      <c r="D1421" s="581"/>
      <c r="E1421" s="558"/>
      <c r="F1421" s="558"/>
      <c r="G1421" s="558"/>
      <c r="H1421" s="1210"/>
      <c r="I1421" s="558"/>
      <c r="J1421" s="606"/>
      <c r="K1421" s="558"/>
      <c r="L1421" s="558"/>
      <c r="M1421" s="558"/>
      <c r="N1421" s="558"/>
      <c r="O1421" s="558"/>
    </row>
    <row r="1422" spans="1:15" ht="18">
      <c r="B1422" s="613" t="s">
        <v>175</v>
      </c>
      <c r="C1422" s="695" t="s">
        <v>291</v>
      </c>
      <c r="D1422" s="581"/>
      <c r="E1422" s="558"/>
      <c r="F1422" s="558"/>
      <c r="G1422" s="558"/>
      <c r="H1422" s="1210"/>
      <c r="I1422" s="1210"/>
      <c r="J1422" s="1211"/>
      <c r="K1422" s="1210"/>
      <c r="L1422" s="1210"/>
      <c r="M1422" s="1210"/>
      <c r="N1422" s="1210"/>
      <c r="O1422" s="558"/>
    </row>
    <row r="1423" spans="1:15" ht="18.75">
      <c r="B1423" s="613"/>
      <c r="C1423" s="612"/>
      <c r="D1423" s="581"/>
      <c r="E1423" s="558"/>
      <c r="F1423" s="558"/>
      <c r="G1423" s="558"/>
      <c r="H1423" s="1210"/>
      <c r="I1423" s="1210"/>
      <c r="J1423" s="1211"/>
      <c r="K1423" s="1210"/>
      <c r="L1423" s="1210"/>
      <c r="M1423" s="1210"/>
      <c r="N1423" s="1210"/>
      <c r="O1423" s="558"/>
    </row>
    <row r="1424" spans="1:15" ht="18.75">
      <c r="B1424" s="613"/>
      <c r="C1424" s="612" t="s">
        <v>292</v>
      </c>
      <c r="D1424" s="581"/>
      <c r="E1424" s="558"/>
      <c r="F1424" s="558"/>
      <c r="G1424" s="558"/>
      <c r="H1424" s="1210"/>
      <c r="I1424" s="1210"/>
      <c r="J1424" s="1211"/>
      <c r="K1424" s="1210"/>
      <c r="L1424" s="1210"/>
      <c r="M1424" s="1210"/>
      <c r="N1424" s="1210"/>
      <c r="O1424" s="558"/>
    </row>
    <row r="1425" spans="1:15" ht="15.75" thickBot="1">
      <c r="C1425" s="411"/>
      <c r="D1425" s="581"/>
      <c r="E1425" s="558"/>
      <c r="F1425" s="558"/>
      <c r="G1425" s="558"/>
      <c r="H1425" s="1210"/>
      <c r="I1425" s="1210"/>
      <c r="J1425" s="1211"/>
      <c r="K1425" s="1210"/>
      <c r="L1425" s="1210"/>
      <c r="M1425" s="1210"/>
      <c r="N1425" s="1210"/>
      <c r="O1425" s="558"/>
    </row>
    <row r="1426" spans="1:15" ht="15.75">
      <c r="C1426" s="614" t="s">
        <v>293</v>
      </c>
      <c r="D1426" s="581"/>
      <c r="E1426" s="558"/>
      <c r="F1426" s="558"/>
      <c r="G1426" s="1212"/>
      <c r="H1426" s="558" t="s">
        <v>272</v>
      </c>
      <c r="I1426" s="558"/>
      <c r="J1426" s="606"/>
      <c r="K1426" s="696" t="s">
        <v>297</v>
      </c>
      <c r="L1426" s="697"/>
      <c r="M1426" s="698"/>
      <c r="N1426" s="1213">
        <f>VLOOKUP(I1432,C1439:O1498,5)</f>
        <v>0</v>
      </c>
      <c r="O1426" s="558"/>
    </row>
    <row r="1427" spans="1:15" ht="15.75">
      <c r="C1427" s="614"/>
      <c r="D1427" s="581"/>
      <c r="E1427" s="558"/>
      <c r="F1427" s="558"/>
      <c r="G1427" s="558"/>
      <c r="H1427" s="1214"/>
      <c r="I1427" s="1214"/>
      <c r="J1427" s="1215"/>
      <c r="K1427" s="701" t="s">
        <v>298</v>
      </c>
      <c r="L1427" s="1216"/>
      <c r="M1427" s="606"/>
      <c r="N1427" s="1217">
        <f>VLOOKUP(I1432,C1439:O1498,6)</f>
        <v>0</v>
      </c>
      <c r="O1427" s="558"/>
    </row>
    <row r="1428" spans="1:15" ht="13.5" thickBot="1">
      <c r="C1428" s="702" t="s">
        <v>294</v>
      </c>
      <c r="D1428" s="1610" t="s">
        <v>1152</v>
      </c>
      <c r="E1428" s="1611"/>
      <c r="F1428" s="1611"/>
      <c r="G1428" s="1611"/>
      <c r="H1428" s="1611"/>
      <c r="I1428" s="1611"/>
      <c r="J1428" s="1211"/>
      <c r="K1428" s="1218" t="s">
        <v>451</v>
      </c>
      <c r="L1428" s="1219"/>
      <c r="M1428" s="1219"/>
      <c r="N1428" s="1220">
        <f>+N1427-N1426</f>
        <v>0</v>
      </c>
      <c r="O1428" s="558"/>
    </row>
    <row r="1429" spans="1:15">
      <c r="C1429" s="704"/>
      <c r="D1429" s="1611"/>
      <c r="E1429" s="1611"/>
      <c r="F1429" s="1611"/>
      <c r="G1429" s="1611"/>
      <c r="H1429" s="1611"/>
      <c r="I1429" s="1611"/>
      <c r="J1429" s="1211"/>
      <c r="K1429" s="1210"/>
      <c r="L1429" s="1210"/>
      <c r="M1429" s="1210"/>
      <c r="N1429" s="1210"/>
      <c r="O1429" s="558"/>
    </row>
    <row r="1430" spans="1:15" ht="13.5" thickBot="1">
      <c r="C1430" s="707"/>
      <c r="D1430" s="708"/>
      <c r="E1430" s="706"/>
      <c r="F1430" s="706"/>
      <c r="G1430" s="706"/>
      <c r="H1430" s="706"/>
      <c r="I1430" s="706"/>
      <c r="J1430" s="1351"/>
      <c r="K1430" s="706"/>
      <c r="L1430" s="706"/>
      <c r="M1430" s="706"/>
      <c r="N1430" s="706"/>
      <c r="O1430" s="594"/>
    </row>
    <row r="1431" spans="1:15" ht="13.5" thickBot="1">
      <c r="C1431" s="710" t="s">
        <v>295</v>
      </c>
      <c r="D1431" s="711"/>
      <c r="E1431" s="711"/>
      <c r="F1431" s="711"/>
      <c r="G1431" s="711"/>
      <c r="H1431" s="711"/>
      <c r="I1431" s="712"/>
      <c r="J1431" s="713"/>
      <c r="K1431" s="558"/>
      <c r="L1431" s="558"/>
      <c r="M1431" s="558"/>
      <c r="N1431" s="558"/>
      <c r="O1431" s="714"/>
    </row>
    <row r="1432" spans="1:15" ht="15">
      <c r="C1432" s="716" t="s">
        <v>273</v>
      </c>
      <c r="D1432" s="1221">
        <v>0</v>
      </c>
      <c r="E1432" s="673" t="s">
        <v>274</v>
      </c>
      <c r="G1432" s="717"/>
      <c r="H1432" s="717"/>
      <c r="I1432" s="718">
        <f>I1343</f>
        <v>2025</v>
      </c>
      <c r="J1432" s="604"/>
      <c r="K1432" s="1600" t="s">
        <v>460</v>
      </c>
      <c r="L1432" s="1600"/>
      <c r="M1432" s="1600"/>
      <c r="N1432" s="1600"/>
      <c r="O1432" s="1600"/>
    </row>
    <row r="1433" spans="1:15">
      <c r="C1433" s="716" t="s">
        <v>276</v>
      </c>
      <c r="D1433" s="864">
        <v>2024</v>
      </c>
      <c r="E1433" s="716" t="s">
        <v>277</v>
      </c>
      <c r="F1433" s="717"/>
      <c r="H1433" s="345"/>
      <c r="I1433" s="867">
        <f>IF(G1426="",0,$F$15)</f>
        <v>0</v>
      </c>
      <c r="J1433" s="719"/>
      <c r="K1433" s="1211" t="s">
        <v>460</v>
      </c>
    </row>
    <row r="1434" spans="1:15">
      <c r="C1434" s="716" t="s">
        <v>278</v>
      </c>
      <c r="D1434" s="1221">
        <v>4</v>
      </c>
      <c r="E1434" s="716" t="s">
        <v>279</v>
      </c>
      <c r="F1434" s="717"/>
      <c r="H1434" s="345"/>
      <c r="I1434" s="720">
        <f>$G$70</f>
        <v>0.11808937687765908</v>
      </c>
      <c r="J1434" s="721"/>
      <c r="K1434" s="345" t="str">
        <f>"          INPUT PROJECTED ARR (WITH &amp; WITHOUT INCENTIVES) FROM EACH PRIOR YEAR"</f>
        <v xml:space="preserve">          INPUT PROJECTED ARR (WITH &amp; WITHOUT INCENTIVES) FROM EACH PRIOR YEAR</v>
      </c>
    </row>
    <row r="1435" spans="1:15">
      <c r="C1435" s="716" t="s">
        <v>280</v>
      </c>
      <c r="D1435" s="722">
        <f>G$79</f>
        <v>38</v>
      </c>
      <c r="E1435" s="716" t="s">
        <v>281</v>
      </c>
      <c r="F1435" s="717"/>
      <c r="H1435" s="345"/>
      <c r="I1435" s="720">
        <f>IF(G1426="",I1434,$G$67)</f>
        <v>0.11808937687765908</v>
      </c>
      <c r="J1435" s="723"/>
      <c r="K1435" s="345" t="s">
        <v>358</v>
      </c>
    </row>
    <row r="1436" spans="1:15" ht="13.5" thickBot="1">
      <c r="C1436" s="716" t="s">
        <v>282</v>
      </c>
      <c r="D1436" s="866" t="s">
        <v>925</v>
      </c>
      <c r="E1436" s="724" t="s">
        <v>283</v>
      </c>
      <c r="F1436" s="725"/>
      <c r="G1436" s="726"/>
      <c r="H1436" s="726"/>
      <c r="I1436" s="1220">
        <f>IF(D1432=0,0,D1432/D1435)</f>
        <v>0</v>
      </c>
      <c r="J1436" s="1211"/>
      <c r="K1436" s="1211" t="s">
        <v>364</v>
      </c>
      <c r="L1436" s="1211"/>
      <c r="M1436" s="1211"/>
      <c r="N1436" s="1211"/>
      <c r="O1436" s="606"/>
    </row>
    <row r="1437" spans="1:15" ht="51">
      <c r="A1437" s="1350"/>
      <c r="B1437" s="1222"/>
      <c r="C1437" s="727" t="s">
        <v>273</v>
      </c>
      <c r="D1437" s="1223" t="s">
        <v>284</v>
      </c>
      <c r="E1437" s="1224" t="s">
        <v>285</v>
      </c>
      <c r="F1437" s="1223" t="s">
        <v>286</v>
      </c>
      <c r="G1437" s="1224" t="s">
        <v>357</v>
      </c>
      <c r="H1437" s="1225" t="s">
        <v>357</v>
      </c>
      <c r="I1437" s="727" t="s">
        <v>296</v>
      </c>
      <c r="J1437" s="731"/>
      <c r="K1437" s="1224" t="s">
        <v>366</v>
      </c>
      <c r="L1437" s="1226"/>
      <c r="M1437" s="1224" t="s">
        <v>366</v>
      </c>
      <c r="N1437" s="1226"/>
      <c r="O1437" s="1226"/>
    </row>
    <row r="1438" spans="1:15" ht="13.5" thickBot="1">
      <c r="C1438" s="733" t="s">
        <v>178</v>
      </c>
      <c r="D1438" s="734" t="s">
        <v>179</v>
      </c>
      <c r="E1438" s="733" t="s">
        <v>38</v>
      </c>
      <c r="F1438" s="734" t="s">
        <v>179</v>
      </c>
      <c r="G1438" s="1227" t="s">
        <v>299</v>
      </c>
      <c r="H1438" s="1228" t="s">
        <v>301</v>
      </c>
      <c r="I1438" s="737" t="s">
        <v>390</v>
      </c>
      <c r="J1438" s="738"/>
      <c r="K1438" s="1227" t="s">
        <v>288</v>
      </c>
      <c r="L1438" s="1229"/>
      <c r="M1438" s="1227" t="s">
        <v>301</v>
      </c>
      <c r="N1438" s="1229"/>
      <c r="O1438" s="1229"/>
    </row>
    <row r="1439" spans="1:15">
      <c r="C1439" s="739">
        <f>IF(D1433= "","-",D1433)</f>
        <v>2024</v>
      </c>
      <c r="D1439" s="691">
        <f>+D1432</f>
        <v>0</v>
      </c>
      <c r="E1439" s="1230">
        <f>+I1436/12*(12-D1434)</f>
        <v>0</v>
      </c>
      <c r="F1439" s="691">
        <f>+D1439-E1439</f>
        <v>0</v>
      </c>
      <c r="G1439" s="1231">
        <f>+$I$810*((D1439+F1439)/2)+E1439</f>
        <v>0</v>
      </c>
      <c r="H1439" s="1232">
        <f>+$I$811*((D1439+F1439)/2)+E1439</f>
        <v>0</v>
      </c>
      <c r="I1439" s="743">
        <f>+H1439-G1439</f>
        <v>0</v>
      </c>
      <c r="J1439" s="743"/>
      <c r="K1439" s="869">
        <v>17.371638410132661</v>
      </c>
      <c r="L1439" s="745"/>
      <c r="M1439" s="869">
        <v>17.371638410132661</v>
      </c>
      <c r="N1439" s="745"/>
      <c r="O1439" s="745"/>
    </row>
    <row r="1440" spans="1:15">
      <c r="C1440" s="739">
        <f>IF(D1433="","-",+C1439+1)</f>
        <v>2025</v>
      </c>
      <c r="D1440" s="691">
        <f t="shared" ref="D1440:D1498" si="90">F1439</f>
        <v>0</v>
      </c>
      <c r="E1440" s="746">
        <f>IF(D1440&gt;$I$1436,$I$1436,D1440)</f>
        <v>0</v>
      </c>
      <c r="F1440" s="691">
        <f>+D1440-E1440</f>
        <v>0</v>
      </c>
      <c r="G1440" s="1230">
        <f>+$I$810*((D1440+F1440)/2)+E1440</f>
        <v>0</v>
      </c>
      <c r="H1440" s="1233">
        <f>+$I$810*((D1440+F1440)/2)+E1440</f>
        <v>0</v>
      </c>
      <c r="I1440" s="743">
        <f t="shared" ref="I1440:I1498" si="91">+H1440-G1440</f>
        <v>0</v>
      </c>
      <c r="J1440" s="743"/>
      <c r="K1440" s="869">
        <v>0</v>
      </c>
      <c r="L1440" s="749"/>
      <c r="M1440" s="869">
        <v>0</v>
      </c>
      <c r="N1440" s="749"/>
      <c r="O1440" s="749"/>
    </row>
    <row r="1441" spans="3:15">
      <c r="C1441" s="1247">
        <f>IF(D1433="","-",+C1440+1)</f>
        <v>2026</v>
      </c>
      <c r="D1441" s="1235">
        <f t="shared" si="90"/>
        <v>0</v>
      </c>
      <c r="E1441" s="746">
        <f t="shared" ref="E1441:E1498" si="92">IF(D1441&gt;$I$1436,$I$1436,D1441)</f>
        <v>0</v>
      </c>
      <c r="F1441" s="691">
        <f t="shared" ref="F1441:F1498" si="93">+D1441-E1441</f>
        <v>0</v>
      </c>
      <c r="G1441" s="1230">
        <f t="shared" ref="G1441:G1498" si="94">+$I$810*((D1441+F1441)/2)+E1441</f>
        <v>0</v>
      </c>
      <c r="H1441" s="1233">
        <f t="shared" ref="H1441:H1498" si="95">+$I$810*((D1441+F1441)/2)+E1441</f>
        <v>0</v>
      </c>
      <c r="I1441" s="1239">
        <f t="shared" si="91"/>
        <v>0</v>
      </c>
      <c r="J1441" s="743"/>
      <c r="K1441" s="869"/>
      <c r="L1441" s="749"/>
      <c r="M1441" s="869"/>
      <c r="N1441" s="749"/>
      <c r="O1441" s="749"/>
    </row>
    <row r="1442" spans="3:15">
      <c r="C1442" s="739">
        <f>IF(D1433="","-",+C1441+1)</f>
        <v>2027</v>
      </c>
      <c r="D1442" s="691">
        <f t="shared" si="90"/>
        <v>0</v>
      </c>
      <c r="E1442" s="746">
        <f t="shared" si="92"/>
        <v>0</v>
      </c>
      <c r="F1442" s="691">
        <f t="shared" si="93"/>
        <v>0</v>
      </c>
      <c r="G1442" s="1230">
        <f t="shared" si="94"/>
        <v>0</v>
      </c>
      <c r="H1442" s="1233">
        <f t="shared" si="95"/>
        <v>0</v>
      </c>
      <c r="I1442" s="743">
        <f t="shared" si="91"/>
        <v>0</v>
      </c>
      <c r="J1442" s="743"/>
      <c r="K1442" s="869"/>
      <c r="L1442" s="749"/>
      <c r="M1442" s="869"/>
      <c r="N1442" s="749"/>
      <c r="O1442" s="749"/>
    </row>
    <row r="1443" spans="3:15">
      <c r="C1443" s="739">
        <f>IF(D1433="","-",+C1442+1)</f>
        <v>2028</v>
      </c>
      <c r="D1443" s="691">
        <f t="shared" si="90"/>
        <v>0</v>
      </c>
      <c r="E1443" s="746">
        <f t="shared" si="92"/>
        <v>0</v>
      </c>
      <c r="F1443" s="691">
        <f t="shared" si="93"/>
        <v>0</v>
      </c>
      <c r="G1443" s="1230">
        <f t="shared" si="94"/>
        <v>0</v>
      </c>
      <c r="H1443" s="1233">
        <f t="shared" si="95"/>
        <v>0</v>
      </c>
      <c r="I1443" s="743">
        <f t="shared" si="91"/>
        <v>0</v>
      </c>
      <c r="J1443" s="743"/>
      <c r="K1443" s="869"/>
      <c r="L1443" s="749"/>
      <c r="M1443" s="869"/>
      <c r="N1443" s="749"/>
      <c r="O1443" s="749"/>
    </row>
    <row r="1444" spans="3:15">
      <c r="C1444" s="739">
        <f>IF(D1433="","-",+C1443+1)</f>
        <v>2029</v>
      </c>
      <c r="D1444" s="691">
        <f t="shared" si="90"/>
        <v>0</v>
      </c>
      <c r="E1444" s="746">
        <f t="shared" si="92"/>
        <v>0</v>
      </c>
      <c r="F1444" s="691">
        <f t="shared" si="93"/>
        <v>0</v>
      </c>
      <c r="G1444" s="1230">
        <f t="shared" si="94"/>
        <v>0</v>
      </c>
      <c r="H1444" s="1233">
        <f t="shared" si="95"/>
        <v>0</v>
      </c>
      <c r="I1444" s="743">
        <f t="shared" si="91"/>
        <v>0</v>
      </c>
      <c r="J1444" s="743"/>
      <c r="K1444" s="869"/>
      <c r="L1444" s="749"/>
      <c r="M1444" s="869"/>
      <c r="N1444" s="749"/>
      <c r="O1444" s="749"/>
    </row>
    <row r="1445" spans="3:15">
      <c r="C1445" s="739">
        <f>IF(D1433="","-",+C1444+1)</f>
        <v>2030</v>
      </c>
      <c r="D1445" s="691">
        <f t="shared" si="90"/>
        <v>0</v>
      </c>
      <c r="E1445" s="746">
        <f t="shared" si="92"/>
        <v>0</v>
      </c>
      <c r="F1445" s="691">
        <f t="shared" si="93"/>
        <v>0</v>
      </c>
      <c r="G1445" s="1230">
        <f t="shared" si="94"/>
        <v>0</v>
      </c>
      <c r="H1445" s="1233">
        <f t="shared" si="95"/>
        <v>0</v>
      </c>
      <c r="I1445" s="743">
        <f t="shared" si="91"/>
        <v>0</v>
      </c>
      <c r="J1445" s="743"/>
      <c r="K1445" s="869"/>
      <c r="L1445" s="749"/>
      <c r="M1445" s="869"/>
      <c r="N1445" s="749"/>
      <c r="O1445" s="749"/>
    </row>
    <row r="1446" spans="3:15">
      <c r="C1446" s="739">
        <f>IF(D1433="","-",+C1445+1)</f>
        <v>2031</v>
      </c>
      <c r="D1446" s="691">
        <f t="shared" si="90"/>
        <v>0</v>
      </c>
      <c r="E1446" s="746">
        <f t="shared" si="92"/>
        <v>0</v>
      </c>
      <c r="F1446" s="691">
        <f t="shared" si="93"/>
        <v>0</v>
      </c>
      <c r="G1446" s="1230">
        <f t="shared" si="94"/>
        <v>0</v>
      </c>
      <c r="H1446" s="1233">
        <f t="shared" si="95"/>
        <v>0</v>
      </c>
      <c r="I1446" s="743">
        <f t="shared" si="91"/>
        <v>0</v>
      </c>
      <c r="J1446" s="743"/>
      <c r="K1446" s="869"/>
      <c r="L1446" s="749"/>
      <c r="M1446" s="869"/>
      <c r="N1446" s="749"/>
      <c r="O1446" s="749"/>
    </row>
    <row r="1447" spans="3:15">
      <c r="C1447" s="739">
        <f>IF(D1433="","-",+C1446+1)</f>
        <v>2032</v>
      </c>
      <c r="D1447" s="691">
        <f t="shared" si="90"/>
        <v>0</v>
      </c>
      <c r="E1447" s="746">
        <f t="shared" si="92"/>
        <v>0</v>
      </c>
      <c r="F1447" s="691">
        <f t="shared" si="93"/>
        <v>0</v>
      </c>
      <c r="G1447" s="1230">
        <f t="shared" si="94"/>
        <v>0</v>
      </c>
      <c r="H1447" s="1233">
        <f t="shared" si="95"/>
        <v>0</v>
      </c>
      <c r="I1447" s="743">
        <f t="shared" si="91"/>
        <v>0</v>
      </c>
      <c r="J1447" s="743"/>
      <c r="K1447" s="869"/>
      <c r="L1447" s="749"/>
      <c r="M1447" s="869"/>
      <c r="N1447" s="749"/>
      <c r="O1447" s="749"/>
    </row>
    <row r="1448" spans="3:15">
      <c r="C1448" s="739">
        <f>IF(D1433="","-",+C1447+1)</f>
        <v>2033</v>
      </c>
      <c r="D1448" s="691">
        <f t="shared" si="90"/>
        <v>0</v>
      </c>
      <c r="E1448" s="746">
        <f t="shared" si="92"/>
        <v>0</v>
      </c>
      <c r="F1448" s="691">
        <f t="shared" si="93"/>
        <v>0</v>
      </c>
      <c r="G1448" s="1230">
        <f t="shared" si="94"/>
        <v>0</v>
      </c>
      <c r="H1448" s="1233">
        <f t="shared" si="95"/>
        <v>0</v>
      </c>
      <c r="I1448" s="743">
        <f t="shared" si="91"/>
        <v>0</v>
      </c>
      <c r="J1448" s="743"/>
      <c r="K1448" s="869"/>
      <c r="L1448" s="749"/>
      <c r="M1448" s="869"/>
      <c r="N1448" s="749"/>
      <c r="O1448" s="749"/>
    </row>
    <row r="1449" spans="3:15">
      <c r="C1449" s="739">
        <f>IF(D1433="","-",+C1448+1)</f>
        <v>2034</v>
      </c>
      <c r="D1449" s="691">
        <f t="shared" si="90"/>
        <v>0</v>
      </c>
      <c r="E1449" s="746">
        <f t="shared" si="92"/>
        <v>0</v>
      </c>
      <c r="F1449" s="691">
        <f t="shared" si="93"/>
        <v>0</v>
      </c>
      <c r="G1449" s="1230">
        <f t="shared" si="94"/>
        <v>0</v>
      </c>
      <c r="H1449" s="1233">
        <f t="shared" si="95"/>
        <v>0</v>
      </c>
      <c r="I1449" s="743">
        <f t="shared" si="91"/>
        <v>0</v>
      </c>
      <c r="J1449" s="743"/>
      <c r="K1449" s="869"/>
      <c r="L1449" s="749"/>
      <c r="M1449" s="869"/>
      <c r="N1449" s="749"/>
      <c r="O1449" s="749"/>
    </row>
    <row r="1450" spans="3:15">
      <c r="C1450" s="739">
        <f>IF(D1433="","-",+C1449+1)</f>
        <v>2035</v>
      </c>
      <c r="D1450" s="691">
        <f t="shared" si="90"/>
        <v>0</v>
      </c>
      <c r="E1450" s="746">
        <f t="shared" si="92"/>
        <v>0</v>
      </c>
      <c r="F1450" s="691">
        <f t="shared" si="93"/>
        <v>0</v>
      </c>
      <c r="G1450" s="1230">
        <f t="shared" si="94"/>
        <v>0</v>
      </c>
      <c r="H1450" s="1233">
        <f t="shared" si="95"/>
        <v>0</v>
      </c>
      <c r="I1450" s="743">
        <f t="shared" si="91"/>
        <v>0</v>
      </c>
      <c r="J1450" s="743"/>
      <c r="K1450" s="869"/>
      <c r="L1450" s="749"/>
      <c r="M1450" s="869"/>
      <c r="N1450" s="749"/>
      <c r="O1450" s="749"/>
    </row>
    <row r="1451" spans="3:15">
      <c r="C1451" s="739">
        <f>IF(D1433="","-",+C1450+1)</f>
        <v>2036</v>
      </c>
      <c r="D1451" s="691">
        <f t="shared" si="90"/>
        <v>0</v>
      </c>
      <c r="E1451" s="746">
        <f t="shared" si="92"/>
        <v>0</v>
      </c>
      <c r="F1451" s="691">
        <f t="shared" si="93"/>
        <v>0</v>
      </c>
      <c r="G1451" s="1230">
        <f t="shared" si="94"/>
        <v>0</v>
      </c>
      <c r="H1451" s="1233">
        <f t="shared" si="95"/>
        <v>0</v>
      </c>
      <c r="I1451" s="743">
        <f t="shared" si="91"/>
        <v>0</v>
      </c>
      <c r="J1451" s="743"/>
      <c r="K1451" s="869"/>
      <c r="L1451" s="749"/>
      <c r="M1451" s="869"/>
      <c r="N1451" s="749"/>
      <c r="O1451" s="749"/>
    </row>
    <row r="1452" spans="3:15">
      <c r="C1452" s="739">
        <f>IF(D1433="","-",+C1451+1)</f>
        <v>2037</v>
      </c>
      <c r="D1452" s="691">
        <f t="shared" si="90"/>
        <v>0</v>
      </c>
      <c r="E1452" s="746">
        <f t="shared" si="92"/>
        <v>0</v>
      </c>
      <c r="F1452" s="691">
        <f t="shared" si="93"/>
        <v>0</v>
      </c>
      <c r="G1452" s="1230">
        <f t="shared" si="94"/>
        <v>0</v>
      </c>
      <c r="H1452" s="1233">
        <f t="shared" si="95"/>
        <v>0</v>
      </c>
      <c r="I1452" s="743">
        <f t="shared" si="91"/>
        <v>0</v>
      </c>
      <c r="J1452" s="743"/>
      <c r="K1452" s="869"/>
      <c r="L1452" s="749"/>
      <c r="M1452" s="869"/>
      <c r="N1452" s="749"/>
      <c r="O1452" s="749"/>
    </row>
    <row r="1453" spans="3:15">
      <c r="C1453" s="739">
        <f>IF(D1433="","-",+C1452+1)</f>
        <v>2038</v>
      </c>
      <c r="D1453" s="691">
        <f t="shared" si="90"/>
        <v>0</v>
      </c>
      <c r="E1453" s="746">
        <f t="shared" si="92"/>
        <v>0</v>
      </c>
      <c r="F1453" s="691">
        <f t="shared" si="93"/>
        <v>0</v>
      </c>
      <c r="G1453" s="1230">
        <f t="shared" si="94"/>
        <v>0</v>
      </c>
      <c r="H1453" s="1233">
        <f t="shared" si="95"/>
        <v>0</v>
      </c>
      <c r="I1453" s="743">
        <f t="shared" si="91"/>
        <v>0</v>
      </c>
      <c r="J1453" s="743"/>
      <c r="K1453" s="869"/>
      <c r="L1453" s="749"/>
      <c r="M1453" s="869"/>
      <c r="N1453" s="749"/>
      <c r="O1453" s="749"/>
    </row>
    <row r="1454" spans="3:15">
      <c r="C1454" s="739">
        <f>IF(D1433="","-",+C1453+1)</f>
        <v>2039</v>
      </c>
      <c r="D1454" s="691">
        <f t="shared" si="90"/>
        <v>0</v>
      </c>
      <c r="E1454" s="746">
        <f t="shared" si="92"/>
        <v>0</v>
      </c>
      <c r="F1454" s="691">
        <f t="shared" si="93"/>
        <v>0</v>
      </c>
      <c r="G1454" s="1230">
        <f t="shared" si="94"/>
        <v>0</v>
      </c>
      <c r="H1454" s="1233">
        <f t="shared" si="95"/>
        <v>0</v>
      </c>
      <c r="I1454" s="743">
        <f t="shared" si="91"/>
        <v>0</v>
      </c>
      <c r="J1454" s="743"/>
      <c r="K1454" s="869"/>
      <c r="L1454" s="749"/>
      <c r="M1454" s="869"/>
      <c r="N1454" s="749"/>
      <c r="O1454" s="749"/>
    </row>
    <row r="1455" spans="3:15">
      <c r="C1455" s="739">
        <f>IF(D1433="","-",+C1454+1)</f>
        <v>2040</v>
      </c>
      <c r="D1455" s="691">
        <f t="shared" si="90"/>
        <v>0</v>
      </c>
      <c r="E1455" s="746">
        <f t="shared" si="92"/>
        <v>0</v>
      </c>
      <c r="F1455" s="691">
        <f t="shared" si="93"/>
        <v>0</v>
      </c>
      <c r="G1455" s="1230">
        <f t="shared" si="94"/>
        <v>0</v>
      </c>
      <c r="H1455" s="1233">
        <f t="shared" si="95"/>
        <v>0</v>
      </c>
      <c r="I1455" s="743">
        <f t="shared" si="91"/>
        <v>0</v>
      </c>
      <c r="J1455" s="743"/>
      <c r="K1455" s="869"/>
      <c r="L1455" s="749"/>
      <c r="M1455" s="869"/>
      <c r="N1455" s="749"/>
      <c r="O1455" s="749"/>
    </row>
    <row r="1456" spans="3:15">
      <c r="C1456" s="739">
        <f>IF(D1433="","-",+C1455+1)</f>
        <v>2041</v>
      </c>
      <c r="D1456" s="691">
        <f t="shared" si="90"/>
        <v>0</v>
      </c>
      <c r="E1456" s="746">
        <f t="shared" si="92"/>
        <v>0</v>
      </c>
      <c r="F1456" s="691">
        <f t="shared" si="93"/>
        <v>0</v>
      </c>
      <c r="G1456" s="1230">
        <f t="shared" si="94"/>
        <v>0</v>
      </c>
      <c r="H1456" s="1233">
        <f t="shared" si="95"/>
        <v>0</v>
      </c>
      <c r="I1456" s="743">
        <f t="shared" si="91"/>
        <v>0</v>
      </c>
      <c r="J1456" s="743"/>
      <c r="K1456" s="869"/>
      <c r="L1456" s="749"/>
      <c r="M1456" s="869"/>
      <c r="N1456" s="749"/>
      <c r="O1456" s="749"/>
    </row>
    <row r="1457" spans="3:15">
      <c r="C1457" s="739">
        <f>IF(D1433="","-",+C1456+1)</f>
        <v>2042</v>
      </c>
      <c r="D1457" s="691">
        <f t="shared" si="90"/>
        <v>0</v>
      </c>
      <c r="E1457" s="746">
        <f t="shared" si="92"/>
        <v>0</v>
      </c>
      <c r="F1457" s="691">
        <f t="shared" si="93"/>
        <v>0</v>
      </c>
      <c r="G1457" s="1230">
        <f t="shared" si="94"/>
        <v>0</v>
      </c>
      <c r="H1457" s="1233">
        <f t="shared" si="95"/>
        <v>0</v>
      </c>
      <c r="I1457" s="743">
        <f t="shared" si="91"/>
        <v>0</v>
      </c>
      <c r="J1457" s="743"/>
      <c r="K1457" s="869"/>
      <c r="L1457" s="749"/>
      <c r="M1457" s="869"/>
      <c r="N1457" s="749"/>
      <c r="O1457" s="749"/>
    </row>
    <row r="1458" spans="3:15">
      <c r="C1458" s="739">
        <f>IF(D1433="","-",+C1457+1)</f>
        <v>2043</v>
      </c>
      <c r="D1458" s="691">
        <f t="shared" si="90"/>
        <v>0</v>
      </c>
      <c r="E1458" s="746">
        <f t="shared" si="92"/>
        <v>0</v>
      </c>
      <c r="F1458" s="691">
        <f t="shared" si="93"/>
        <v>0</v>
      </c>
      <c r="G1458" s="1230">
        <f t="shared" si="94"/>
        <v>0</v>
      </c>
      <c r="H1458" s="1233">
        <f t="shared" si="95"/>
        <v>0</v>
      </c>
      <c r="I1458" s="743">
        <f t="shared" si="91"/>
        <v>0</v>
      </c>
      <c r="J1458" s="743"/>
      <c r="K1458" s="869"/>
      <c r="L1458" s="749"/>
      <c r="M1458" s="869"/>
      <c r="N1458" s="749"/>
      <c r="O1458" s="749"/>
    </row>
    <row r="1459" spans="3:15">
      <c r="C1459" s="739">
        <f>IF(D1433="","-",+C1458+1)</f>
        <v>2044</v>
      </c>
      <c r="D1459" s="691">
        <f t="shared" si="90"/>
        <v>0</v>
      </c>
      <c r="E1459" s="746">
        <f t="shared" si="92"/>
        <v>0</v>
      </c>
      <c r="F1459" s="691">
        <f t="shared" si="93"/>
        <v>0</v>
      </c>
      <c r="G1459" s="1230">
        <f t="shared" si="94"/>
        <v>0</v>
      </c>
      <c r="H1459" s="1233">
        <f t="shared" si="95"/>
        <v>0</v>
      </c>
      <c r="I1459" s="743">
        <f t="shared" si="91"/>
        <v>0</v>
      </c>
      <c r="J1459" s="743"/>
      <c r="K1459" s="869"/>
      <c r="L1459" s="749"/>
      <c r="M1459" s="869"/>
      <c r="N1459" s="749"/>
      <c r="O1459" s="749"/>
    </row>
    <row r="1460" spans="3:15">
      <c r="C1460" s="739">
        <f>IF(D1433="","-",+C1459+1)</f>
        <v>2045</v>
      </c>
      <c r="D1460" s="691">
        <f t="shared" si="90"/>
        <v>0</v>
      </c>
      <c r="E1460" s="746">
        <f t="shared" si="92"/>
        <v>0</v>
      </c>
      <c r="F1460" s="691">
        <f t="shared" si="93"/>
        <v>0</v>
      </c>
      <c r="G1460" s="1230">
        <f t="shared" si="94"/>
        <v>0</v>
      </c>
      <c r="H1460" s="1233">
        <f t="shared" si="95"/>
        <v>0</v>
      </c>
      <c r="I1460" s="743">
        <f t="shared" si="91"/>
        <v>0</v>
      </c>
      <c r="J1460" s="743"/>
      <c r="K1460" s="869"/>
      <c r="L1460" s="749"/>
      <c r="M1460" s="869"/>
      <c r="N1460" s="749"/>
      <c r="O1460" s="749"/>
    </row>
    <row r="1461" spans="3:15">
      <c r="C1461" s="739">
        <f>IF(D1433="","-",+C1460+1)</f>
        <v>2046</v>
      </c>
      <c r="D1461" s="691">
        <f t="shared" si="90"/>
        <v>0</v>
      </c>
      <c r="E1461" s="746">
        <f t="shared" si="92"/>
        <v>0</v>
      </c>
      <c r="F1461" s="691">
        <f t="shared" si="93"/>
        <v>0</v>
      </c>
      <c r="G1461" s="1230">
        <f t="shared" si="94"/>
        <v>0</v>
      </c>
      <c r="H1461" s="1233">
        <f t="shared" si="95"/>
        <v>0</v>
      </c>
      <c r="I1461" s="743">
        <f t="shared" si="91"/>
        <v>0</v>
      </c>
      <c r="J1461" s="743"/>
      <c r="K1461" s="869"/>
      <c r="L1461" s="749"/>
      <c r="M1461" s="869"/>
      <c r="N1461" s="749"/>
      <c r="O1461" s="749"/>
    </row>
    <row r="1462" spans="3:15">
      <c r="C1462" s="739">
        <f>IF(D1433="","-",+C1461+1)</f>
        <v>2047</v>
      </c>
      <c r="D1462" s="691">
        <f t="shared" si="90"/>
        <v>0</v>
      </c>
      <c r="E1462" s="746">
        <f t="shared" si="92"/>
        <v>0</v>
      </c>
      <c r="F1462" s="691">
        <f t="shared" si="93"/>
        <v>0</v>
      </c>
      <c r="G1462" s="1230">
        <f t="shared" si="94"/>
        <v>0</v>
      </c>
      <c r="H1462" s="1233">
        <f t="shared" si="95"/>
        <v>0</v>
      </c>
      <c r="I1462" s="743">
        <f t="shared" si="91"/>
        <v>0</v>
      </c>
      <c r="J1462" s="743"/>
      <c r="K1462" s="869"/>
      <c r="L1462" s="749"/>
      <c r="M1462" s="869"/>
      <c r="N1462" s="749"/>
      <c r="O1462" s="749"/>
    </row>
    <row r="1463" spans="3:15">
      <c r="C1463" s="739">
        <f>IF(D1433="","-",+C1462+1)</f>
        <v>2048</v>
      </c>
      <c r="D1463" s="691">
        <f t="shared" si="90"/>
        <v>0</v>
      </c>
      <c r="E1463" s="746">
        <f t="shared" si="92"/>
        <v>0</v>
      </c>
      <c r="F1463" s="691">
        <f t="shared" si="93"/>
        <v>0</v>
      </c>
      <c r="G1463" s="1230">
        <f t="shared" si="94"/>
        <v>0</v>
      </c>
      <c r="H1463" s="1233">
        <f t="shared" si="95"/>
        <v>0</v>
      </c>
      <c r="I1463" s="743">
        <f t="shared" si="91"/>
        <v>0</v>
      </c>
      <c r="J1463" s="743"/>
      <c r="K1463" s="869"/>
      <c r="L1463" s="749"/>
      <c r="M1463" s="869"/>
      <c r="N1463" s="749"/>
      <c r="O1463" s="749"/>
    </row>
    <row r="1464" spans="3:15">
      <c r="C1464" s="739">
        <f>IF(D1433="","-",+C1463+1)</f>
        <v>2049</v>
      </c>
      <c r="D1464" s="691">
        <f t="shared" si="90"/>
        <v>0</v>
      </c>
      <c r="E1464" s="746">
        <f t="shared" si="92"/>
        <v>0</v>
      </c>
      <c r="F1464" s="691">
        <f t="shared" si="93"/>
        <v>0</v>
      </c>
      <c r="G1464" s="1230">
        <f t="shared" si="94"/>
        <v>0</v>
      </c>
      <c r="H1464" s="1233">
        <f t="shared" si="95"/>
        <v>0</v>
      </c>
      <c r="I1464" s="743">
        <f t="shared" si="91"/>
        <v>0</v>
      </c>
      <c r="J1464" s="743"/>
      <c r="K1464" s="869"/>
      <c r="L1464" s="749"/>
      <c r="M1464" s="869"/>
      <c r="N1464" s="749"/>
      <c r="O1464" s="749"/>
    </row>
    <row r="1465" spans="3:15">
      <c r="C1465" s="739">
        <f>IF(D1433="","-",+C1464+1)</f>
        <v>2050</v>
      </c>
      <c r="D1465" s="691">
        <f t="shared" si="90"/>
        <v>0</v>
      </c>
      <c r="E1465" s="746">
        <f t="shared" si="92"/>
        <v>0</v>
      </c>
      <c r="F1465" s="691">
        <f t="shared" si="93"/>
        <v>0</v>
      </c>
      <c r="G1465" s="1230">
        <f t="shared" si="94"/>
        <v>0</v>
      </c>
      <c r="H1465" s="1233">
        <f t="shared" si="95"/>
        <v>0</v>
      </c>
      <c r="I1465" s="743">
        <f t="shared" si="91"/>
        <v>0</v>
      </c>
      <c r="J1465" s="743"/>
      <c r="K1465" s="869"/>
      <c r="L1465" s="749"/>
      <c r="M1465" s="869"/>
      <c r="N1465" s="749"/>
      <c r="O1465" s="749"/>
    </row>
    <row r="1466" spans="3:15">
      <c r="C1466" s="739">
        <f>IF(D1433="","-",+C1465+1)</f>
        <v>2051</v>
      </c>
      <c r="D1466" s="691">
        <f t="shared" si="90"/>
        <v>0</v>
      </c>
      <c r="E1466" s="746">
        <f t="shared" si="92"/>
        <v>0</v>
      </c>
      <c r="F1466" s="691">
        <f t="shared" si="93"/>
        <v>0</v>
      </c>
      <c r="G1466" s="1230">
        <f t="shared" si="94"/>
        <v>0</v>
      </c>
      <c r="H1466" s="1233">
        <f t="shared" si="95"/>
        <v>0</v>
      </c>
      <c r="I1466" s="743">
        <f t="shared" si="91"/>
        <v>0</v>
      </c>
      <c r="J1466" s="743"/>
      <c r="K1466" s="869"/>
      <c r="L1466" s="749"/>
      <c r="M1466" s="869"/>
      <c r="N1466" s="749"/>
      <c r="O1466" s="749"/>
    </row>
    <row r="1467" spans="3:15">
      <c r="C1467" s="739">
        <f>IF(D1433="","-",+C1466+1)</f>
        <v>2052</v>
      </c>
      <c r="D1467" s="691">
        <f t="shared" si="90"/>
        <v>0</v>
      </c>
      <c r="E1467" s="746">
        <f t="shared" si="92"/>
        <v>0</v>
      </c>
      <c r="F1467" s="691">
        <f t="shared" si="93"/>
        <v>0</v>
      </c>
      <c r="G1467" s="1230">
        <f t="shared" si="94"/>
        <v>0</v>
      </c>
      <c r="H1467" s="1233">
        <f t="shared" si="95"/>
        <v>0</v>
      </c>
      <c r="I1467" s="743">
        <f t="shared" si="91"/>
        <v>0</v>
      </c>
      <c r="J1467" s="743"/>
      <c r="K1467" s="869"/>
      <c r="L1467" s="749"/>
      <c r="M1467" s="869"/>
      <c r="N1467" s="749"/>
      <c r="O1467" s="749"/>
    </row>
    <row r="1468" spans="3:15">
      <c r="C1468" s="739">
        <f>IF(D1433="","-",+C1467+1)</f>
        <v>2053</v>
      </c>
      <c r="D1468" s="691">
        <f t="shared" si="90"/>
        <v>0</v>
      </c>
      <c r="E1468" s="746">
        <f t="shared" si="92"/>
        <v>0</v>
      </c>
      <c r="F1468" s="691">
        <f t="shared" si="93"/>
        <v>0</v>
      </c>
      <c r="G1468" s="1230">
        <f t="shared" si="94"/>
        <v>0</v>
      </c>
      <c r="H1468" s="1233">
        <f t="shared" si="95"/>
        <v>0</v>
      </c>
      <c r="I1468" s="743">
        <f t="shared" si="91"/>
        <v>0</v>
      </c>
      <c r="J1468" s="743"/>
      <c r="K1468" s="869"/>
      <c r="L1468" s="749"/>
      <c r="M1468" s="869"/>
      <c r="N1468" s="749"/>
      <c r="O1468" s="749"/>
    </row>
    <row r="1469" spans="3:15">
      <c r="C1469" s="739">
        <f>IF(D1433="","-",+C1468+1)</f>
        <v>2054</v>
      </c>
      <c r="D1469" s="691">
        <f t="shared" si="90"/>
        <v>0</v>
      </c>
      <c r="E1469" s="746">
        <f t="shared" si="92"/>
        <v>0</v>
      </c>
      <c r="F1469" s="691">
        <f t="shared" si="93"/>
        <v>0</v>
      </c>
      <c r="G1469" s="1230">
        <f t="shared" si="94"/>
        <v>0</v>
      </c>
      <c r="H1469" s="1233">
        <f t="shared" si="95"/>
        <v>0</v>
      </c>
      <c r="I1469" s="743">
        <f t="shared" si="91"/>
        <v>0</v>
      </c>
      <c r="J1469" s="743"/>
      <c r="K1469" s="869"/>
      <c r="L1469" s="749"/>
      <c r="M1469" s="869"/>
      <c r="N1469" s="749"/>
      <c r="O1469" s="749"/>
    </row>
    <row r="1470" spans="3:15">
      <c r="C1470" s="739">
        <f>IF(D1433="","-",+C1469+1)</f>
        <v>2055</v>
      </c>
      <c r="D1470" s="691">
        <f t="shared" si="90"/>
        <v>0</v>
      </c>
      <c r="E1470" s="746">
        <f t="shared" si="92"/>
        <v>0</v>
      </c>
      <c r="F1470" s="691">
        <f t="shared" si="93"/>
        <v>0</v>
      </c>
      <c r="G1470" s="1230">
        <f t="shared" si="94"/>
        <v>0</v>
      </c>
      <c r="H1470" s="1233">
        <f t="shared" si="95"/>
        <v>0</v>
      </c>
      <c r="I1470" s="743">
        <f t="shared" si="91"/>
        <v>0</v>
      </c>
      <c r="J1470" s="743"/>
      <c r="K1470" s="869"/>
      <c r="L1470" s="749"/>
      <c r="M1470" s="869"/>
      <c r="N1470" s="749"/>
      <c r="O1470" s="749"/>
    </row>
    <row r="1471" spans="3:15">
      <c r="C1471" s="739">
        <f>IF(D1433="","-",+C1470+1)</f>
        <v>2056</v>
      </c>
      <c r="D1471" s="691">
        <f t="shared" si="90"/>
        <v>0</v>
      </c>
      <c r="E1471" s="746">
        <f t="shared" si="92"/>
        <v>0</v>
      </c>
      <c r="F1471" s="691">
        <f t="shared" si="93"/>
        <v>0</v>
      </c>
      <c r="G1471" s="1230">
        <f t="shared" si="94"/>
        <v>0</v>
      </c>
      <c r="H1471" s="1233">
        <f t="shared" si="95"/>
        <v>0</v>
      </c>
      <c r="I1471" s="743">
        <f t="shared" si="91"/>
        <v>0</v>
      </c>
      <c r="J1471" s="743"/>
      <c r="K1471" s="869"/>
      <c r="L1471" s="749"/>
      <c r="M1471" s="869"/>
      <c r="N1471" s="749"/>
      <c r="O1471" s="749"/>
    </row>
    <row r="1472" spans="3:15">
      <c r="C1472" s="739">
        <f>IF(D1433="","-",+C1471+1)</f>
        <v>2057</v>
      </c>
      <c r="D1472" s="691">
        <f t="shared" si="90"/>
        <v>0</v>
      </c>
      <c r="E1472" s="746">
        <f t="shared" si="92"/>
        <v>0</v>
      </c>
      <c r="F1472" s="691">
        <f t="shared" si="93"/>
        <v>0</v>
      </c>
      <c r="G1472" s="1230">
        <f t="shared" si="94"/>
        <v>0</v>
      </c>
      <c r="H1472" s="1233">
        <f t="shared" si="95"/>
        <v>0</v>
      </c>
      <c r="I1472" s="743">
        <f t="shared" si="91"/>
        <v>0</v>
      </c>
      <c r="J1472" s="743"/>
      <c r="K1472" s="869"/>
      <c r="L1472" s="749"/>
      <c r="M1472" s="869"/>
      <c r="N1472" s="749"/>
      <c r="O1472" s="749"/>
    </row>
    <row r="1473" spans="3:15">
      <c r="C1473" s="739">
        <f>IF(D1433="","-",+C1472+1)</f>
        <v>2058</v>
      </c>
      <c r="D1473" s="691">
        <f t="shared" si="90"/>
        <v>0</v>
      </c>
      <c r="E1473" s="746">
        <f t="shared" si="92"/>
        <v>0</v>
      </c>
      <c r="F1473" s="691">
        <f t="shared" si="93"/>
        <v>0</v>
      </c>
      <c r="G1473" s="1230">
        <f t="shared" si="94"/>
        <v>0</v>
      </c>
      <c r="H1473" s="1233">
        <f t="shared" si="95"/>
        <v>0</v>
      </c>
      <c r="I1473" s="743">
        <f t="shared" si="91"/>
        <v>0</v>
      </c>
      <c r="J1473" s="743"/>
      <c r="K1473" s="869"/>
      <c r="L1473" s="749"/>
      <c r="M1473" s="869"/>
      <c r="N1473" s="749"/>
      <c r="O1473" s="749"/>
    </row>
    <row r="1474" spans="3:15">
      <c r="C1474" s="739">
        <f>IF(D1433="","-",+C1473+1)</f>
        <v>2059</v>
      </c>
      <c r="D1474" s="691">
        <f t="shared" si="90"/>
        <v>0</v>
      </c>
      <c r="E1474" s="746">
        <f t="shared" si="92"/>
        <v>0</v>
      </c>
      <c r="F1474" s="691">
        <f t="shared" si="93"/>
        <v>0</v>
      </c>
      <c r="G1474" s="1230">
        <f t="shared" si="94"/>
        <v>0</v>
      </c>
      <c r="H1474" s="1233">
        <f t="shared" si="95"/>
        <v>0</v>
      </c>
      <c r="I1474" s="743">
        <f t="shared" si="91"/>
        <v>0</v>
      </c>
      <c r="J1474" s="743"/>
      <c r="K1474" s="869"/>
      <c r="L1474" s="749"/>
      <c r="M1474" s="869"/>
      <c r="N1474" s="749"/>
      <c r="O1474" s="749"/>
    </row>
    <row r="1475" spans="3:15">
      <c r="C1475" s="739">
        <f>IF(D1433="","-",+C1474+1)</f>
        <v>2060</v>
      </c>
      <c r="D1475" s="691">
        <f t="shared" si="90"/>
        <v>0</v>
      </c>
      <c r="E1475" s="746">
        <f t="shared" si="92"/>
        <v>0</v>
      </c>
      <c r="F1475" s="691">
        <f t="shared" si="93"/>
        <v>0</v>
      </c>
      <c r="G1475" s="1230">
        <f t="shared" si="94"/>
        <v>0</v>
      </c>
      <c r="H1475" s="1233">
        <f t="shared" si="95"/>
        <v>0</v>
      </c>
      <c r="I1475" s="743">
        <f t="shared" si="91"/>
        <v>0</v>
      </c>
      <c r="J1475" s="743"/>
      <c r="K1475" s="869"/>
      <c r="L1475" s="749"/>
      <c r="M1475" s="869"/>
      <c r="N1475" s="749"/>
      <c r="O1475" s="749"/>
    </row>
    <row r="1476" spans="3:15">
      <c r="C1476" s="739">
        <f>IF(D1433="","-",+C1475+1)</f>
        <v>2061</v>
      </c>
      <c r="D1476" s="691">
        <f t="shared" si="90"/>
        <v>0</v>
      </c>
      <c r="E1476" s="746">
        <f t="shared" si="92"/>
        <v>0</v>
      </c>
      <c r="F1476" s="691">
        <f t="shared" si="93"/>
        <v>0</v>
      </c>
      <c r="G1476" s="1230">
        <f t="shared" si="94"/>
        <v>0</v>
      </c>
      <c r="H1476" s="1233">
        <f t="shared" si="95"/>
        <v>0</v>
      </c>
      <c r="I1476" s="743">
        <f t="shared" si="91"/>
        <v>0</v>
      </c>
      <c r="J1476" s="743"/>
      <c r="K1476" s="869"/>
      <c r="L1476" s="749"/>
      <c r="M1476" s="869"/>
      <c r="N1476" s="749"/>
      <c r="O1476" s="749"/>
    </row>
    <row r="1477" spans="3:15">
      <c r="C1477" s="739">
        <f>IF(D1433="","-",+C1476+1)</f>
        <v>2062</v>
      </c>
      <c r="D1477" s="691">
        <f t="shared" si="90"/>
        <v>0</v>
      </c>
      <c r="E1477" s="746">
        <f t="shared" si="92"/>
        <v>0</v>
      </c>
      <c r="F1477" s="691">
        <f t="shared" si="93"/>
        <v>0</v>
      </c>
      <c r="G1477" s="1230">
        <f t="shared" si="94"/>
        <v>0</v>
      </c>
      <c r="H1477" s="1233">
        <f t="shared" si="95"/>
        <v>0</v>
      </c>
      <c r="I1477" s="743">
        <f t="shared" si="91"/>
        <v>0</v>
      </c>
      <c r="J1477" s="743"/>
      <c r="K1477" s="869"/>
      <c r="L1477" s="749"/>
      <c r="M1477" s="869"/>
      <c r="N1477" s="749"/>
      <c r="O1477" s="749"/>
    </row>
    <row r="1478" spans="3:15">
      <c r="C1478" s="739">
        <f>IF(D1433="","-",+C1477+1)</f>
        <v>2063</v>
      </c>
      <c r="D1478" s="691">
        <f t="shared" si="90"/>
        <v>0</v>
      </c>
      <c r="E1478" s="746">
        <f t="shared" si="92"/>
        <v>0</v>
      </c>
      <c r="F1478" s="691">
        <f t="shared" si="93"/>
        <v>0</v>
      </c>
      <c r="G1478" s="1230">
        <f t="shared" si="94"/>
        <v>0</v>
      </c>
      <c r="H1478" s="1233">
        <f t="shared" si="95"/>
        <v>0</v>
      </c>
      <c r="I1478" s="743">
        <f t="shared" si="91"/>
        <v>0</v>
      </c>
      <c r="J1478" s="743"/>
      <c r="K1478" s="869"/>
      <c r="L1478" s="749"/>
      <c r="M1478" s="869"/>
      <c r="N1478" s="749"/>
      <c r="O1478" s="749"/>
    </row>
    <row r="1479" spans="3:15">
      <c r="C1479" s="739">
        <f>IF(D1433="","-",+C1478+1)</f>
        <v>2064</v>
      </c>
      <c r="D1479" s="691">
        <f t="shared" si="90"/>
        <v>0</v>
      </c>
      <c r="E1479" s="746">
        <f t="shared" si="92"/>
        <v>0</v>
      </c>
      <c r="F1479" s="691">
        <f t="shared" si="93"/>
        <v>0</v>
      </c>
      <c r="G1479" s="1230">
        <f t="shared" si="94"/>
        <v>0</v>
      </c>
      <c r="H1479" s="1233">
        <f t="shared" si="95"/>
        <v>0</v>
      </c>
      <c r="I1479" s="743">
        <f t="shared" si="91"/>
        <v>0</v>
      </c>
      <c r="J1479" s="743"/>
      <c r="K1479" s="869"/>
      <c r="L1479" s="749"/>
      <c r="M1479" s="869"/>
      <c r="N1479" s="749"/>
      <c r="O1479" s="749"/>
    </row>
    <row r="1480" spans="3:15">
      <c r="C1480" s="739">
        <f>IF(D1433="","-",+C1479+1)</f>
        <v>2065</v>
      </c>
      <c r="D1480" s="691">
        <f t="shared" si="90"/>
        <v>0</v>
      </c>
      <c r="E1480" s="746">
        <f t="shared" si="92"/>
        <v>0</v>
      </c>
      <c r="F1480" s="691">
        <f t="shared" si="93"/>
        <v>0</v>
      </c>
      <c r="G1480" s="1230">
        <f t="shared" si="94"/>
        <v>0</v>
      </c>
      <c r="H1480" s="1233">
        <f t="shared" si="95"/>
        <v>0</v>
      </c>
      <c r="I1480" s="743">
        <f t="shared" si="91"/>
        <v>0</v>
      </c>
      <c r="J1480" s="743"/>
      <c r="K1480" s="869"/>
      <c r="L1480" s="749"/>
      <c r="M1480" s="869"/>
      <c r="N1480" s="749"/>
      <c r="O1480" s="749"/>
    </row>
    <row r="1481" spans="3:15">
      <c r="C1481" s="739">
        <f>IF(D1433="","-",+C1480+1)</f>
        <v>2066</v>
      </c>
      <c r="D1481" s="691">
        <f t="shared" si="90"/>
        <v>0</v>
      </c>
      <c r="E1481" s="746">
        <f t="shared" si="92"/>
        <v>0</v>
      </c>
      <c r="F1481" s="691">
        <f t="shared" si="93"/>
        <v>0</v>
      </c>
      <c r="G1481" s="1230">
        <f t="shared" si="94"/>
        <v>0</v>
      </c>
      <c r="H1481" s="1233">
        <f t="shared" si="95"/>
        <v>0</v>
      </c>
      <c r="I1481" s="743">
        <f t="shared" si="91"/>
        <v>0</v>
      </c>
      <c r="J1481" s="743"/>
      <c r="K1481" s="869"/>
      <c r="L1481" s="749"/>
      <c r="M1481" s="869"/>
      <c r="N1481" s="749"/>
      <c r="O1481" s="749"/>
    </row>
    <row r="1482" spans="3:15">
      <c r="C1482" s="739">
        <f>IF(D1433="","-",+C1481+1)</f>
        <v>2067</v>
      </c>
      <c r="D1482" s="691">
        <f t="shared" si="90"/>
        <v>0</v>
      </c>
      <c r="E1482" s="746">
        <f t="shared" si="92"/>
        <v>0</v>
      </c>
      <c r="F1482" s="691">
        <f t="shared" si="93"/>
        <v>0</v>
      </c>
      <c r="G1482" s="1230">
        <f t="shared" si="94"/>
        <v>0</v>
      </c>
      <c r="H1482" s="1233">
        <f t="shared" si="95"/>
        <v>0</v>
      </c>
      <c r="I1482" s="743">
        <f t="shared" si="91"/>
        <v>0</v>
      </c>
      <c r="J1482" s="743"/>
      <c r="K1482" s="869"/>
      <c r="L1482" s="749"/>
      <c r="M1482" s="869"/>
      <c r="N1482" s="749"/>
      <c r="O1482" s="749"/>
    </row>
    <row r="1483" spans="3:15">
      <c r="C1483" s="739">
        <f>IF(D1433="","-",+C1482+1)</f>
        <v>2068</v>
      </c>
      <c r="D1483" s="691">
        <f t="shared" si="90"/>
        <v>0</v>
      </c>
      <c r="E1483" s="746">
        <f t="shared" si="92"/>
        <v>0</v>
      </c>
      <c r="F1483" s="691">
        <f t="shared" si="93"/>
        <v>0</v>
      </c>
      <c r="G1483" s="1230">
        <f t="shared" si="94"/>
        <v>0</v>
      </c>
      <c r="H1483" s="1233">
        <f t="shared" si="95"/>
        <v>0</v>
      </c>
      <c r="I1483" s="743">
        <f t="shared" si="91"/>
        <v>0</v>
      </c>
      <c r="J1483" s="743"/>
      <c r="K1483" s="869"/>
      <c r="L1483" s="749"/>
      <c r="M1483" s="869"/>
      <c r="N1483" s="749"/>
      <c r="O1483" s="749"/>
    </row>
    <row r="1484" spans="3:15">
      <c r="C1484" s="739">
        <f>IF(D1433="","-",+C1483+1)</f>
        <v>2069</v>
      </c>
      <c r="D1484" s="691">
        <f t="shared" si="90"/>
        <v>0</v>
      </c>
      <c r="E1484" s="746">
        <f t="shared" si="92"/>
        <v>0</v>
      </c>
      <c r="F1484" s="691">
        <f t="shared" si="93"/>
        <v>0</v>
      </c>
      <c r="G1484" s="1230">
        <f t="shared" si="94"/>
        <v>0</v>
      </c>
      <c r="H1484" s="1233">
        <f t="shared" si="95"/>
        <v>0</v>
      </c>
      <c r="I1484" s="743">
        <f t="shared" si="91"/>
        <v>0</v>
      </c>
      <c r="J1484" s="743"/>
      <c r="K1484" s="869"/>
      <c r="L1484" s="749"/>
      <c r="M1484" s="869"/>
      <c r="N1484" s="749"/>
      <c r="O1484" s="749"/>
    </row>
    <row r="1485" spans="3:15">
      <c r="C1485" s="739">
        <f>IF(D1433="","-",+C1484+1)</f>
        <v>2070</v>
      </c>
      <c r="D1485" s="691">
        <f t="shared" si="90"/>
        <v>0</v>
      </c>
      <c r="E1485" s="746">
        <f t="shared" si="92"/>
        <v>0</v>
      </c>
      <c r="F1485" s="691">
        <f t="shared" si="93"/>
        <v>0</v>
      </c>
      <c r="G1485" s="1230">
        <f t="shared" si="94"/>
        <v>0</v>
      </c>
      <c r="H1485" s="1233">
        <f t="shared" si="95"/>
        <v>0</v>
      </c>
      <c r="I1485" s="743">
        <f t="shared" si="91"/>
        <v>0</v>
      </c>
      <c r="J1485" s="743"/>
      <c r="K1485" s="869"/>
      <c r="L1485" s="749"/>
      <c r="M1485" s="869"/>
      <c r="N1485" s="749"/>
      <c r="O1485" s="749"/>
    </row>
    <row r="1486" spans="3:15">
      <c r="C1486" s="739">
        <f>IF(D1433="","-",+C1485+1)</f>
        <v>2071</v>
      </c>
      <c r="D1486" s="691">
        <f t="shared" si="90"/>
        <v>0</v>
      </c>
      <c r="E1486" s="746">
        <f t="shared" si="92"/>
        <v>0</v>
      </c>
      <c r="F1486" s="691">
        <f t="shared" si="93"/>
        <v>0</v>
      </c>
      <c r="G1486" s="1230">
        <f t="shared" si="94"/>
        <v>0</v>
      </c>
      <c r="H1486" s="1233">
        <f t="shared" si="95"/>
        <v>0</v>
      </c>
      <c r="I1486" s="743">
        <f t="shared" si="91"/>
        <v>0</v>
      </c>
      <c r="J1486" s="743"/>
      <c r="K1486" s="869"/>
      <c r="L1486" s="749"/>
      <c r="M1486" s="869"/>
      <c r="N1486" s="749"/>
      <c r="O1486" s="749"/>
    </row>
    <row r="1487" spans="3:15">
      <c r="C1487" s="739">
        <f>IF(D1433="","-",+C1486+1)</f>
        <v>2072</v>
      </c>
      <c r="D1487" s="691">
        <f t="shared" si="90"/>
        <v>0</v>
      </c>
      <c r="E1487" s="746">
        <f t="shared" si="92"/>
        <v>0</v>
      </c>
      <c r="F1487" s="691">
        <f t="shared" si="93"/>
        <v>0</v>
      </c>
      <c r="G1487" s="1230">
        <f t="shared" si="94"/>
        <v>0</v>
      </c>
      <c r="H1487" s="1233">
        <f t="shared" si="95"/>
        <v>0</v>
      </c>
      <c r="I1487" s="743">
        <f t="shared" si="91"/>
        <v>0</v>
      </c>
      <c r="J1487" s="743"/>
      <c r="K1487" s="869"/>
      <c r="L1487" s="749"/>
      <c r="M1487" s="869"/>
      <c r="N1487" s="749"/>
      <c r="O1487" s="749"/>
    </row>
    <row r="1488" spans="3:15">
      <c r="C1488" s="739">
        <f>IF(D1433="","-",+C1487+1)</f>
        <v>2073</v>
      </c>
      <c r="D1488" s="691">
        <f t="shared" si="90"/>
        <v>0</v>
      </c>
      <c r="E1488" s="746">
        <f t="shared" si="92"/>
        <v>0</v>
      </c>
      <c r="F1488" s="691">
        <f t="shared" si="93"/>
        <v>0</v>
      </c>
      <c r="G1488" s="1230">
        <f t="shared" si="94"/>
        <v>0</v>
      </c>
      <c r="H1488" s="1233">
        <f t="shared" si="95"/>
        <v>0</v>
      </c>
      <c r="I1488" s="743">
        <f t="shared" si="91"/>
        <v>0</v>
      </c>
      <c r="J1488" s="743"/>
      <c r="K1488" s="869"/>
      <c r="L1488" s="749"/>
      <c r="M1488" s="869"/>
      <c r="N1488" s="749"/>
      <c r="O1488" s="749"/>
    </row>
    <row r="1489" spans="3:15">
      <c r="C1489" s="739">
        <f>IF(D1433="","-",+C1488+1)</f>
        <v>2074</v>
      </c>
      <c r="D1489" s="691">
        <f t="shared" si="90"/>
        <v>0</v>
      </c>
      <c r="E1489" s="746">
        <f t="shared" si="92"/>
        <v>0</v>
      </c>
      <c r="F1489" s="691">
        <f t="shared" si="93"/>
        <v>0</v>
      </c>
      <c r="G1489" s="1230">
        <f t="shared" si="94"/>
        <v>0</v>
      </c>
      <c r="H1489" s="1233">
        <f t="shared" si="95"/>
        <v>0</v>
      </c>
      <c r="I1489" s="743">
        <f t="shared" si="91"/>
        <v>0</v>
      </c>
      <c r="J1489" s="743"/>
      <c r="K1489" s="869"/>
      <c r="L1489" s="749"/>
      <c r="M1489" s="869"/>
      <c r="N1489" s="749"/>
      <c r="O1489" s="749"/>
    </row>
    <row r="1490" spans="3:15">
      <c r="C1490" s="739">
        <f>IF(D1433="","-",+C1489+1)</f>
        <v>2075</v>
      </c>
      <c r="D1490" s="691">
        <f t="shared" si="90"/>
        <v>0</v>
      </c>
      <c r="E1490" s="746">
        <f t="shared" si="92"/>
        <v>0</v>
      </c>
      <c r="F1490" s="691">
        <f t="shared" si="93"/>
        <v>0</v>
      </c>
      <c r="G1490" s="1230">
        <f t="shared" si="94"/>
        <v>0</v>
      </c>
      <c r="H1490" s="1233">
        <f t="shared" si="95"/>
        <v>0</v>
      </c>
      <c r="I1490" s="743">
        <f t="shared" si="91"/>
        <v>0</v>
      </c>
      <c r="J1490" s="743"/>
      <c r="K1490" s="869"/>
      <c r="L1490" s="749"/>
      <c r="M1490" s="869"/>
      <c r="N1490" s="749"/>
      <c r="O1490" s="749"/>
    </row>
    <row r="1491" spans="3:15">
      <c r="C1491" s="739">
        <f>IF(D1433="","-",+C1490+1)</f>
        <v>2076</v>
      </c>
      <c r="D1491" s="691">
        <f t="shared" si="90"/>
        <v>0</v>
      </c>
      <c r="E1491" s="746">
        <f t="shared" si="92"/>
        <v>0</v>
      </c>
      <c r="F1491" s="691">
        <f t="shared" si="93"/>
        <v>0</v>
      </c>
      <c r="G1491" s="1230">
        <f t="shared" si="94"/>
        <v>0</v>
      </c>
      <c r="H1491" s="1233">
        <f t="shared" si="95"/>
        <v>0</v>
      </c>
      <c r="I1491" s="743">
        <f t="shared" si="91"/>
        <v>0</v>
      </c>
      <c r="J1491" s="743"/>
      <c r="K1491" s="869"/>
      <c r="L1491" s="749"/>
      <c r="M1491" s="869"/>
      <c r="N1491" s="749"/>
      <c r="O1491" s="749"/>
    </row>
    <row r="1492" spans="3:15">
      <c r="C1492" s="739">
        <f>IF(D1433="","-",+C1491+1)</f>
        <v>2077</v>
      </c>
      <c r="D1492" s="691">
        <f t="shared" si="90"/>
        <v>0</v>
      </c>
      <c r="E1492" s="746">
        <f t="shared" si="92"/>
        <v>0</v>
      </c>
      <c r="F1492" s="691">
        <f t="shared" si="93"/>
        <v>0</v>
      </c>
      <c r="G1492" s="1230">
        <f t="shared" si="94"/>
        <v>0</v>
      </c>
      <c r="H1492" s="1233">
        <f t="shared" si="95"/>
        <v>0</v>
      </c>
      <c r="I1492" s="743">
        <f t="shared" si="91"/>
        <v>0</v>
      </c>
      <c r="J1492" s="743"/>
      <c r="K1492" s="869"/>
      <c r="L1492" s="749"/>
      <c r="M1492" s="869"/>
      <c r="N1492" s="749"/>
      <c r="O1492" s="749"/>
    </row>
    <row r="1493" spans="3:15">
      <c r="C1493" s="739">
        <f>IF(D1433="","-",+C1492+1)</f>
        <v>2078</v>
      </c>
      <c r="D1493" s="691">
        <f t="shared" si="90"/>
        <v>0</v>
      </c>
      <c r="E1493" s="746">
        <f t="shared" si="92"/>
        <v>0</v>
      </c>
      <c r="F1493" s="691">
        <f t="shared" si="93"/>
        <v>0</v>
      </c>
      <c r="G1493" s="1230">
        <f t="shared" si="94"/>
        <v>0</v>
      </c>
      <c r="H1493" s="1233">
        <f t="shared" si="95"/>
        <v>0</v>
      </c>
      <c r="I1493" s="743">
        <f t="shared" si="91"/>
        <v>0</v>
      </c>
      <c r="J1493" s="743"/>
      <c r="K1493" s="869"/>
      <c r="L1493" s="749"/>
      <c r="M1493" s="869"/>
      <c r="N1493" s="749"/>
      <c r="O1493" s="749"/>
    </row>
    <row r="1494" spans="3:15">
      <c r="C1494" s="739">
        <f>IF(D1433="","-",+C1493+1)</f>
        <v>2079</v>
      </c>
      <c r="D1494" s="691">
        <f t="shared" si="90"/>
        <v>0</v>
      </c>
      <c r="E1494" s="746">
        <f t="shared" si="92"/>
        <v>0</v>
      </c>
      <c r="F1494" s="691">
        <f t="shared" si="93"/>
        <v>0</v>
      </c>
      <c r="G1494" s="1230">
        <f t="shared" si="94"/>
        <v>0</v>
      </c>
      <c r="H1494" s="1233">
        <f t="shared" si="95"/>
        <v>0</v>
      </c>
      <c r="I1494" s="743">
        <f t="shared" si="91"/>
        <v>0</v>
      </c>
      <c r="J1494" s="743"/>
      <c r="K1494" s="869"/>
      <c r="L1494" s="749"/>
      <c r="M1494" s="869"/>
      <c r="N1494" s="749"/>
      <c r="O1494" s="749"/>
    </row>
    <row r="1495" spans="3:15">
      <c r="C1495" s="739">
        <f>IF(D1433="","-",+C1494+1)</f>
        <v>2080</v>
      </c>
      <c r="D1495" s="691">
        <f t="shared" si="90"/>
        <v>0</v>
      </c>
      <c r="E1495" s="746">
        <f t="shared" si="92"/>
        <v>0</v>
      </c>
      <c r="F1495" s="691">
        <f t="shared" si="93"/>
        <v>0</v>
      </c>
      <c r="G1495" s="1230">
        <f t="shared" si="94"/>
        <v>0</v>
      </c>
      <c r="H1495" s="1233">
        <f t="shared" si="95"/>
        <v>0</v>
      </c>
      <c r="I1495" s="743">
        <f t="shared" si="91"/>
        <v>0</v>
      </c>
      <c r="J1495" s="743"/>
      <c r="K1495" s="869"/>
      <c r="L1495" s="749"/>
      <c r="M1495" s="869"/>
      <c r="N1495" s="749"/>
      <c r="O1495" s="749"/>
    </row>
    <row r="1496" spans="3:15">
      <c r="C1496" s="739">
        <f>IF(D1433="","-",+C1495+1)</f>
        <v>2081</v>
      </c>
      <c r="D1496" s="691">
        <f t="shared" si="90"/>
        <v>0</v>
      </c>
      <c r="E1496" s="746">
        <f t="shared" si="92"/>
        <v>0</v>
      </c>
      <c r="F1496" s="691">
        <f t="shared" si="93"/>
        <v>0</v>
      </c>
      <c r="G1496" s="1230">
        <f t="shared" si="94"/>
        <v>0</v>
      </c>
      <c r="H1496" s="1233">
        <f t="shared" si="95"/>
        <v>0</v>
      </c>
      <c r="I1496" s="743">
        <f t="shared" si="91"/>
        <v>0</v>
      </c>
      <c r="J1496" s="743"/>
      <c r="K1496" s="869"/>
      <c r="L1496" s="749"/>
      <c r="M1496" s="869"/>
      <c r="N1496" s="749"/>
      <c r="O1496" s="749"/>
    </row>
    <row r="1497" spans="3:15">
      <c r="C1497" s="739">
        <f>IF(D1433="","-",+C1496+1)</f>
        <v>2082</v>
      </c>
      <c r="D1497" s="691">
        <f t="shared" si="90"/>
        <v>0</v>
      </c>
      <c r="E1497" s="746">
        <f t="shared" si="92"/>
        <v>0</v>
      </c>
      <c r="F1497" s="691">
        <f t="shared" si="93"/>
        <v>0</v>
      </c>
      <c r="G1497" s="1230">
        <f t="shared" si="94"/>
        <v>0</v>
      </c>
      <c r="H1497" s="1233">
        <f t="shared" si="95"/>
        <v>0</v>
      </c>
      <c r="I1497" s="743">
        <f t="shared" si="91"/>
        <v>0</v>
      </c>
      <c r="J1497" s="743"/>
      <c r="K1497" s="869"/>
      <c r="L1497" s="749"/>
      <c r="M1497" s="869"/>
      <c r="N1497" s="749"/>
      <c r="O1497" s="749"/>
    </row>
    <row r="1498" spans="3:15" ht="13.5" thickBot="1">
      <c r="C1498" s="750">
        <f>IF(D1433="","-",+C1497+1)</f>
        <v>2083</v>
      </c>
      <c r="D1498" s="751">
        <f t="shared" si="90"/>
        <v>0</v>
      </c>
      <c r="E1498" s="752">
        <f t="shared" si="92"/>
        <v>0</v>
      </c>
      <c r="F1498" s="1220">
        <f t="shared" si="93"/>
        <v>0</v>
      </c>
      <c r="G1498" s="1241">
        <f t="shared" si="94"/>
        <v>0</v>
      </c>
      <c r="H1498" s="1220">
        <f t="shared" si="95"/>
        <v>0</v>
      </c>
      <c r="I1498" s="754">
        <f t="shared" si="91"/>
        <v>0</v>
      </c>
      <c r="J1498" s="743"/>
      <c r="K1498" s="870"/>
      <c r="L1498" s="756"/>
      <c r="M1498" s="870"/>
      <c r="N1498" s="756"/>
      <c r="O1498" s="756"/>
    </row>
    <row r="1499" spans="3:15">
      <c r="C1499" s="691" t="s">
        <v>289</v>
      </c>
      <c r="D1499" s="1211"/>
      <c r="E1499" s="1211">
        <f>SUM(E1439:E1498)</f>
        <v>0</v>
      </c>
      <c r="F1499" s="1211"/>
      <c r="G1499" s="1211">
        <f>SUM(G1439:G1498)</f>
        <v>0</v>
      </c>
      <c r="H1499" s="1211">
        <f>SUM(H1439:H1498)</f>
        <v>0</v>
      </c>
      <c r="I1499" s="1211">
        <f>SUM(I1439:I1498)</f>
        <v>0</v>
      </c>
      <c r="J1499" s="1211"/>
      <c r="K1499" s="1211"/>
      <c r="L1499" s="1211"/>
      <c r="M1499" s="1211"/>
      <c r="N1499" s="1211"/>
      <c r="O1499" s="558"/>
    </row>
    <row r="1500" spans="3:15">
      <c r="D1500" s="581"/>
      <c r="E1500" s="558"/>
      <c r="F1500" s="558"/>
      <c r="G1500" s="558"/>
      <c r="H1500" s="1210"/>
      <c r="I1500" s="1210"/>
      <c r="J1500" s="1211"/>
      <c r="K1500" s="1210"/>
      <c r="L1500" s="1210"/>
      <c r="M1500" s="1210"/>
      <c r="N1500" s="1210"/>
      <c r="O1500" s="558"/>
    </row>
    <row r="1501" spans="3:15">
      <c r="C1501" s="1242" t="s">
        <v>926</v>
      </c>
      <c r="D1501" s="581"/>
      <c r="E1501" s="558"/>
      <c r="F1501" s="558"/>
      <c r="G1501" s="558"/>
      <c r="H1501" s="1210"/>
      <c r="I1501" s="1210"/>
      <c r="J1501" s="1211"/>
      <c r="K1501" s="1210"/>
      <c r="L1501" s="1210"/>
      <c r="M1501" s="1210"/>
      <c r="N1501" s="1210"/>
      <c r="O1501" s="558"/>
    </row>
    <row r="1502" spans="3:15">
      <c r="D1502" s="581"/>
      <c r="E1502" s="558"/>
      <c r="F1502" s="558"/>
      <c r="G1502" s="558"/>
      <c r="H1502" s="1210"/>
      <c r="I1502" s="1210"/>
      <c r="J1502" s="1211"/>
      <c r="K1502" s="1210"/>
      <c r="L1502" s="1210"/>
      <c r="M1502" s="1210"/>
      <c r="N1502" s="1210"/>
      <c r="O1502" s="558"/>
    </row>
    <row r="1503" spans="3:15">
      <c r="C1503" s="704" t="s">
        <v>927</v>
      </c>
      <c r="D1503" s="691"/>
      <c r="E1503" s="691"/>
      <c r="F1503" s="691"/>
      <c r="G1503" s="1211"/>
      <c r="H1503" s="1211"/>
      <c r="I1503" s="692"/>
      <c r="J1503" s="692"/>
      <c r="K1503" s="692"/>
      <c r="L1503" s="692"/>
      <c r="M1503" s="692"/>
      <c r="N1503" s="692"/>
      <c r="O1503" s="558"/>
    </row>
    <row r="1504" spans="3:15">
      <c r="C1504" s="690" t="s">
        <v>477</v>
      </c>
      <c r="D1504" s="691"/>
      <c r="E1504" s="691"/>
      <c r="F1504" s="691"/>
      <c r="G1504" s="1211"/>
      <c r="H1504" s="1211"/>
      <c r="I1504" s="692"/>
      <c r="J1504" s="692"/>
      <c r="K1504" s="692"/>
      <c r="L1504" s="692"/>
      <c r="M1504" s="692"/>
      <c r="N1504" s="692"/>
      <c r="O1504" s="558"/>
    </row>
    <row r="1505" spans="3:15">
      <c r="C1505" s="690" t="s">
        <v>290</v>
      </c>
      <c r="D1505" s="691"/>
      <c r="E1505" s="691"/>
      <c r="F1505" s="691"/>
      <c r="G1505" s="1211"/>
      <c r="H1505" s="1211"/>
      <c r="I1505" s="692"/>
      <c r="J1505" s="692"/>
      <c r="K1505" s="692"/>
      <c r="L1505" s="692"/>
      <c r="M1505" s="692"/>
      <c r="N1505" s="692"/>
      <c r="O1505" s="558"/>
    </row>
    <row r="1506" spans="3:15">
      <c r="C1506" s="690"/>
      <c r="D1506" s="691"/>
      <c r="E1506" s="691"/>
      <c r="F1506" s="691"/>
      <c r="G1506" s="1211"/>
      <c r="H1506" s="1211"/>
      <c r="I1506" s="692"/>
      <c r="J1506" s="692"/>
      <c r="K1506" s="692"/>
      <c r="L1506" s="692"/>
      <c r="M1506" s="692"/>
      <c r="N1506" s="692"/>
      <c r="O1506" s="558"/>
    </row>
    <row r="1507" spans="3:15">
      <c r="C1507" s="1601" t="s">
        <v>461</v>
      </c>
      <c r="D1507" s="1601"/>
      <c r="E1507" s="1601"/>
      <c r="F1507" s="1601"/>
      <c r="G1507" s="1601"/>
      <c r="H1507" s="1601"/>
      <c r="I1507" s="1601"/>
      <c r="J1507" s="1601"/>
      <c r="K1507" s="1601"/>
      <c r="L1507" s="1601"/>
      <c r="M1507" s="1601"/>
      <c r="N1507" s="1601"/>
      <c r="O1507" s="1601"/>
    </row>
    <row r="1508" spans="3:15">
      <c r="C1508" s="1601"/>
      <c r="D1508" s="1601"/>
      <c r="E1508" s="1601"/>
      <c r="F1508" s="1601"/>
      <c r="G1508" s="1601"/>
      <c r="H1508" s="1601"/>
      <c r="I1508" s="1601"/>
      <c r="J1508" s="1601"/>
      <c r="K1508" s="1601"/>
      <c r="L1508" s="1601"/>
      <c r="M1508" s="1601"/>
      <c r="N1508" s="1601"/>
      <c r="O1508" s="1601"/>
    </row>
  </sheetData>
  <mergeCells count="54">
    <mergeCell ref="K1343:O1343"/>
    <mergeCell ref="C1418:O1419"/>
    <mergeCell ref="D1428:I1429"/>
    <mergeCell ref="K1432:O1432"/>
    <mergeCell ref="C1507:O1508"/>
    <mergeCell ref="C1240:O1241"/>
    <mergeCell ref="D1250:I1251"/>
    <mergeCell ref="K1254:O1254"/>
    <mergeCell ref="C1329:O1330"/>
    <mergeCell ref="D1339:I1340"/>
    <mergeCell ref="C1150:O1151"/>
    <mergeCell ref="D1161:I1162"/>
    <mergeCell ref="K1165:O1165"/>
    <mergeCell ref="D982:I983"/>
    <mergeCell ref="K986:O986"/>
    <mergeCell ref="C1061:O1062"/>
    <mergeCell ref="D1071:I1072"/>
    <mergeCell ref="K1075:O1075"/>
    <mergeCell ref="D893:I894"/>
    <mergeCell ref="K897:O897"/>
    <mergeCell ref="C972:O973"/>
    <mergeCell ref="K630:O630"/>
    <mergeCell ref="C705:O706"/>
    <mergeCell ref="D715:I716"/>
    <mergeCell ref="K719:O719"/>
    <mergeCell ref="C794:O795"/>
    <mergeCell ref="K808:O808"/>
    <mergeCell ref="C883:O884"/>
    <mergeCell ref="D804:I805"/>
    <mergeCell ref="D448:I449"/>
    <mergeCell ref="K452:O452"/>
    <mergeCell ref="D626:I627"/>
    <mergeCell ref="D537:I538"/>
    <mergeCell ref="C349:O350"/>
    <mergeCell ref="D359:I360"/>
    <mergeCell ref="K541:O541"/>
    <mergeCell ref="C616:O617"/>
    <mergeCell ref="C527:O528"/>
    <mergeCell ref="D181:I182"/>
    <mergeCell ref="K185:O185"/>
    <mergeCell ref="D270:I271"/>
    <mergeCell ref="K363:O363"/>
    <mergeCell ref="C438:O439"/>
    <mergeCell ref="K274:O274"/>
    <mergeCell ref="C260:O261"/>
    <mergeCell ref="D92:I93"/>
    <mergeCell ref="K96:O96"/>
    <mergeCell ref="C171:O172"/>
    <mergeCell ref="K22:O23"/>
    <mergeCell ref="A3:O3"/>
    <mergeCell ref="C11:H12"/>
    <mergeCell ref="A4:O4"/>
    <mergeCell ref="A5:O5"/>
    <mergeCell ref="A6:O6"/>
  </mergeCells>
  <phoneticPr fontId="0" type="noConversion"/>
  <conditionalFormatting sqref="C103:C162 C192:C251">
    <cfRule type="cellIs" dxfId="36" priority="16" stopIfTrue="1" operator="equal">
      <formula>$I$96</formula>
    </cfRule>
  </conditionalFormatting>
  <conditionalFormatting sqref="C281:C340">
    <cfRule type="cellIs" dxfId="35" priority="15" stopIfTrue="1" operator="equal">
      <formula>$I$96</formula>
    </cfRule>
  </conditionalFormatting>
  <conditionalFormatting sqref="C370:C429">
    <cfRule type="cellIs" dxfId="34" priority="14" stopIfTrue="1" operator="equal">
      <formula>$I$96</formula>
    </cfRule>
  </conditionalFormatting>
  <conditionalFormatting sqref="C459:C518">
    <cfRule type="cellIs" dxfId="33" priority="13" stopIfTrue="1" operator="equal">
      <formula>$I$96</formula>
    </cfRule>
  </conditionalFormatting>
  <conditionalFormatting sqref="C548:C607">
    <cfRule type="cellIs" dxfId="32" priority="12" stopIfTrue="1" operator="equal">
      <formula>$I$96</formula>
    </cfRule>
  </conditionalFormatting>
  <conditionalFormatting sqref="C637:C696">
    <cfRule type="cellIs" dxfId="31" priority="11" stopIfTrue="1" operator="equal">
      <formula>$I$96</formula>
    </cfRule>
  </conditionalFormatting>
  <conditionalFormatting sqref="C726:C785">
    <cfRule type="cellIs" dxfId="30" priority="10" stopIfTrue="1" operator="equal">
      <formula>$I$96</formula>
    </cfRule>
  </conditionalFormatting>
  <conditionalFormatting sqref="C815:C874">
    <cfRule type="cellIs" dxfId="29" priority="9" stopIfTrue="1" operator="equal">
      <formula>$I$96</formula>
    </cfRule>
  </conditionalFormatting>
  <conditionalFormatting sqref="C904:C963">
    <cfRule type="cellIs" dxfId="28" priority="8" stopIfTrue="1" operator="equal">
      <formula>$I$96</formula>
    </cfRule>
  </conditionalFormatting>
  <conditionalFormatting sqref="C993:C1052">
    <cfRule type="cellIs" dxfId="27" priority="7" stopIfTrue="1" operator="equal">
      <formula>$I$96</formula>
    </cfRule>
  </conditionalFormatting>
  <conditionalFormatting sqref="C1082:C1141">
    <cfRule type="cellIs" dxfId="26" priority="6" stopIfTrue="1" operator="equal">
      <formula>$I$96</formula>
    </cfRule>
  </conditionalFormatting>
  <conditionalFormatting sqref="C1172:C1231">
    <cfRule type="cellIs" dxfId="25" priority="4" stopIfTrue="1" operator="equal">
      <formula>$I$96</formula>
    </cfRule>
  </conditionalFormatting>
  <conditionalFormatting sqref="C1261:C1320">
    <cfRule type="cellIs" dxfId="24" priority="3" stopIfTrue="1" operator="equal">
      <formula>$I$96</formula>
    </cfRule>
  </conditionalFormatting>
  <conditionalFormatting sqref="C1350:C1409">
    <cfRule type="cellIs" dxfId="23" priority="2" stopIfTrue="1" operator="equal">
      <formula>$I$96</formula>
    </cfRule>
  </conditionalFormatting>
  <conditionalFormatting sqref="C1439:C1498">
    <cfRule type="cellIs" dxfId="22" priority="1" stopIfTrue="1" operator="equal">
      <formula>$I$96</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13" manualBreakCount="13">
    <brk id="81" max="14" man="1"/>
    <brk id="172" max="16383" man="1"/>
    <brk id="261" max="16383" man="1"/>
    <brk id="350" max="16383" man="1"/>
    <brk id="439" max="16383" man="1"/>
    <brk id="528" max="16383" man="1"/>
    <brk id="617" max="16383" man="1"/>
    <brk id="706" max="16383" man="1"/>
    <brk id="795" max="16383" man="1"/>
    <brk id="884" max="16383" man="1"/>
    <brk id="973" max="16383" man="1"/>
    <brk id="1062" max="16383" man="1"/>
    <brk id="115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69"/>
  <sheetViews>
    <sheetView view="pageBreakPreview" zoomScale="85" zoomScaleNormal="100" zoomScaleSheetLayoutView="85" workbookViewId="0"/>
  </sheetViews>
  <sheetFormatPr defaultColWidth="8.85546875" defaultRowHeight="12.75"/>
  <cols>
    <col min="1" max="1" width="4.7109375" style="345" customWidth="1"/>
    <col min="2" max="2" width="6.7109375" style="427" customWidth="1"/>
    <col min="3" max="3" width="32.28515625" style="345" customWidth="1"/>
    <col min="4" max="4" width="17.7109375" style="439" customWidth="1"/>
    <col min="5" max="8" width="17.7109375" style="345" customWidth="1"/>
    <col min="9" max="9" width="17.7109375" style="607" customWidth="1"/>
    <col min="10" max="10" width="17.7109375" style="345" bestFit="1" customWidth="1"/>
    <col min="11" max="11" width="2.140625" style="329" customWidth="1"/>
    <col min="12" max="12" width="17.7109375" style="558" customWidth="1"/>
    <col min="13" max="13" width="31.85546875" style="558" customWidth="1"/>
    <col min="14" max="15" width="17.7109375" style="558" customWidth="1"/>
    <col min="16" max="16" width="16.7109375" style="558" customWidth="1"/>
    <col min="17" max="17" width="2.140625" style="558" customWidth="1"/>
    <col min="18" max="16384" width="8.85546875" style="345"/>
  </cols>
  <sheetData>
    <row r="1" spans="1:17" ht="15.75">
      <c r="A1" s="886" t="s">
        <v>618</v>
      </c>
    </row>
    <row r="2" spans="1:17" ht="15.75">
      <c r="A2" s="886" t="s">
        <v>619</v>
      </c>
    </row>
    <row r="3" spans="1:17" ht="15">
      <c r="A3" s="1584" t="s">
        <v>388</v>
      </c>
      <c r="B3" s="1584"/>
      <c r="C3" s="1584"/>
      <c r="D3" s="1584"/>
      <c r="E3" s="1584"/>
      <c r="F3" s="1584"/>
      <c r="G3" s="1584"/>
      <c r="H3" s="1584"/>
      <c r="I3" s="1584"/>
      <c r="J3" s="1584"/>
      <c r="K3" s="1584"/>
      <c r="L3" s="1584"/>
      <c r="M3" s="1584"/>
      <c r="N3" s="1584"/>
      <c r="O3" s="1584"/>
      <c r="P3" s="1584"/>
      <c r="Q3" s="606"/>
    </row>
    <row r="4" spans="1:17" ht="15">
      <c r="A4" s="1585" t="str">
        <f>"Cost of Service Formula Rate Using "&amp;TCOS!L4&amp;" FF1 Balances"</f>
        <v>Cost of Service Formula Rate Using 2025 FF1 Balances</v>
      </c>
      <c r="B4" s="1585"/>
      <c r="C4" s="1585"/>
      <c r="D4" s="1585"/>
      <c r="E4" s="1585"/>
      <c r="F4" s="1585"/>
      <c r="G4" s="1585"/>
      <c r="H4" s="1585"/>
      <c r="I4" s="1585"/>
      <c r="J4" s="1585"/>
      <c r="K4" s="1585"/>
      <c r="L4" s="1585"/>
      <c r="M4" s="1585"/>
      <c r="N4" s="1585"/>
      <c r="O4" s="1585"/>
      <c r="P4" s="1585"/>
      <c r="Q4" s="606"/>
    </row>
    <row r="5" spans="1:17" ht="15">
      <c r="A5" s="1585" t="s">
        <v>470</v>
      </c>
      <c r="B5" s="1585"/>
      <c r="C5" s="1585"/>
      <c r="D5" s="1585"/>
      <c r="E5" s="1585"/>
      <c r="F5" s="1585"/>
      <c r="G5" s="1585"/>
      <c r="H5" s="1585"/>
      <c r="I5" s="1585"/>
      <c r="J5" s="1585"/>
      <c r="K5" s="1585"/>
      <c r="L5" s="1585"/>
      <c r="M5" s="1585"/>
      <c r="N5" s="1585"/>
      <c r="O5" s="1585"/>
      <c r="P5" s="1585"/>
      <c r="Q5" s="606"/>
    </row>
    <row r="6" spans="1:17" ht="15">
      <c r="A6" s="1586" t="str">
        <f>TCOS!F9</f>
        <v xml:space="preserve">Indiana Michigan Power Company </v>
      </c>
      <c r="B6" s="1586"/>
      <c r="C6" s="1586"/>
      <c r="D6" s="1586"/>
      <c r="E6" s="1586"/>
      <c r="F6" s="1586"/>
      <c r="G6" s="1586"/>
      <c r="H6" s="1586"/>
      <c r="I6" s="1586"/>
      <c r="J6" s="1586"/>
      <c r="K6" s="1586"/>
      <c r="L6" s="1586"/>
      <c r="M6" s="1586"/>
      <c r="N6" s="1586"/>
      <c r="O6" s="1586"/>
      <c r="P6" s="1586"/>
      <c r="Q6" s="606"/>
    </row>
    <row r="7" spans="1:17">
      <c r="Q7" s="606"/>
    </row>
    <row r="8" spans="1:17" ht="20.25">
      <c r="A8" s="608"/>
      <c r="C8" s="427"/>
      <c r="O8" s="609" t="str">
        <f>"Page "&amp;Q8&amp;" of "</f>
        <v xml:space="preserve">Page 1 of </v>
      </c>
      <c r="P8" s="610">
        <f>COUNT(Q$8:Q$58122)</f>
        <v>2</v>
      </c>
      <c r="Q8" s="611">
        <v>1</v>
      </c>
    </row>
    <row r="9" spans="1:17" ht="18">
      <c r="C9" s="612"/>
      <c r="Q9" s="606"/>
    </row>
    <row r="10" spans="1:17">
      <c r="Q10" s="606"/>
    </row>
    <row r="11" spans="1:17" ht="18">
      <c r="B11" s="613" t="s">
        <v>172</v>
      </c>
      <c r="C11" s="1608" t="str">
        <f>"Calculate Return and Income Taxes with "&amp;F17&amp;" basis point ROE increase for Projects Qualified for Regional Billing."</f>
        <v>Calculate Return and Income Taxes with 0 basis point ROE increase for Projects Qualified for Regional Billing.</v>
      </c>
      <c r="D11" s="1609"/>
      <c r="E11" s="1609"/>
      <c r="F11" s="1609"/>
      <c r="G11" s="1609"/>
      <c r="H11" s="1609"/>
      <c r="I11" s="1609"/>
      <c r="Q11" s="606"/>
    </row>
    <row r="12" spans="1:17" ht="18.75" customHeight="1">
      <c r="C12" s="1609"/>
      <c r="D12" s="1609"/>
      <c r="E12" s="1609"/>
      <c r="F12" s="1609"/>
      <c r="G12" s="1609"/>
      <c r="H12" s="1609"/>
      <c r="I12" s="1609"/>
      <c r="Q12" s="606"/>
    </row>
    <row r="13" spans="1:17" ht="15.75" customHeight="1">
      <c r="C13" s="545"/>
      <c r="D13" s="545"/>
      <c r="E13" s="545"/>
      <c r="F13" s="545"/>
      <c r="G13" s="545"/>
      <c r="H13" s="545"/>
      <c r="I13" s="545"/>
      <c r="Q13" s="606"/>
    </row>
    <row r="14" spans="1:17" ht="15.75">
      <c r="C14" s="614" t="str">
        <f>"A.   Determine 'R' with hypothetical "&amp;F17&amp;" basis point increase in ROE for Identified Projects"</f>
        <v>A.   Determine 'R' with hypothetical 0 basis point increase in ROE for Identified Projects</v>
      </c>
      <c r="D14" s="394"/>
      <c r="Q14" s="606"/>
    </row>
    <row r="15" spans="1:17">
      <c r="C15" s="383"/>
      <c r="D15" s="394"/>
      <c r="Q15" s="606"/>
    </row>
    <row r="16" spans="1:17">
      <c r="C16" s="615" t="str">
        <f>"   ROE w/o incentives  (TCOS, ln "&amp;TCOS!B257&amp;")"</f>
        <v xml:space="preserve">   ROE w/o incentives  (TCOS, ln 156)</v>
      </c>
      <c r="D16" s="394"/>
      <c r="E16" s="616"/>
      <c r="F16" s="758">
        <f>TCOS!J257</f>
        <v>0.10349999999999999</v>
      </c>
      <c r="G16" s="758"/>
      <c r="H16" s="616"/>
      <c r="I16" s="618"/>
      <c r="J16" s="618"/>
      <c r="K16" s="619"/>
      <c r="L16" s="618"/>
      <c r="M16" s="618"/>
      <c r="N16" s="618"/>
      <c r="O16" s="618"/>
      <c r="P16" s="618"/>
      <c r="Q16" s="619"/>
    </row>
    <row r="17" spans="3:17" ht="13.5" thickBot="1">
      <c r="C17" s="637" t="s">
        <v>253</v>
      </c>
      <c r="D17" s="394"/>
      <c r="E17" s="616"/>
      <c r="F17" s="860">
        <v>0</v>
      </c>
      <c r="G17" s="616"/>
      <c r="H17" s="616"/>
      <c r="I17" s="618"/>
      <c r="J17" s="618"/>
      <c r="K17" s="619"/>
      <c r="L17" s="618"/>
      <c r="M17" s="618"/>
      <c r="N17" s="618"/>
      <c r="O17" s="618"/>
      <c r="P17" s="618"/>
      <c r="Q17" s="619"/>
    </row>
    <row r="18" spans="3:17">
      <c r="C18" s="637" t="str">
        <f>"   ROE with additional "&amp;F17&amp;" basis point incentive"</f>
        <v xml:space="preserve">   ROE with additional 0 basis point incentive</v>
      </c>
      <c r="D18" s="616"/>
      <c r="E18" s="616"/>
      <c r="F18" s="621">
        <f>IF((F16+(F17/10000)&gt;0.125),"ERROR",F16+(F17/10000))</f>
        <v>0.10349999999999999</v>
      </c>
      <c r="G18" s="622"/>
      <c r="H18" s="616"/>
      <c r="I18" s="618"/>
      <c r="J18" s="618"/>
      <c r="K18" s="619"/>
      <c r="L18" s="759" t="s">
        <v>455</v>
      </c>
      <c r="M18" s="760"/>
      <c r="N18" s="760"/>
      <c r="O18" s="760"/>
      <c r="P18" s="761"/>
      <c r="Q18" s="619"/>
    </row>
    <row r="19" spans="3:17">
      <c r="C19" s="615"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94"/>
      <c r="E19" s="616"/>
      <c r="F19" s="623"/>
      <c r="G19" s="623"/>
      <c r="H19" s="616"/>
      <c r="I19" s="618"/>
      <c r="J19" s="618"/>
      <c r="K19" s="619"/>
      <c r="L19" s="762"/>
      <c r="M19" s="619"/>
      <c r="N19" s="619" t="s">
        <v>255</v>
      </c>
      <c r="O19" s="619" t="s">
        <v>256</v>
      </c>
      <c r="P19" s="763" t="s">
        <v>257</v>
      </c>
      <c r="Q19" s="619"/>
    </row>
    <row r="20" spans="3:17">
      <c r="C20" s="619"/>
      <c r="D20" s="624" t="s">
        <v>147</v>
      </c>
      <c r="E20" s="624" t="s">
        <v>146</v>
      </c>
      <c r="F20" s="625" t="s">
        <v>254</v>
      </c>
      <c r="G20" s="625"/>
      <c r="H20" s="616"/>
      <c r="I20" s="618"/>
      <c r="J20" s="618"/>
      <c r="K20" s="619"/>
      <c r="L20" s="762" t="s">
        <v>453</v>
      </c>
      <c r="M20" s="764">
        <f>+TCOS!L4</f>
        <v>2025</v>
      </c>
      <c r="N20" s="606"/>
      <c r="O20" s="606"/>
      <c r="P20" s="765"/>
      <c r="Q20" s="619"/>
    </row>
    <row r="21" spans="3:17">
      <c r="C21" s="626" t="s">
        <v>258</v>
      </c>
      <c r="D21" s="766">
        <f>TCOS!H255</f>
        <v>0.4567158493510543</v>
      </c>
      <c r="E21" s="628">
        <f>TCOS!J255</f>
        <v>4.5225247696157891E-2</v>
      </c>
      <c r="F21" s="629">
        <f>E21*D21</f>
        <v>2.0655087413662562E-2</v>
      </c>
      <c r="G21" s="629"/>
      <c r="H21" s="616"/>
      <c r="I21" s="618"/>
      <c r="J21" s="630"/>
      <c r="K21" s="631"/>
      <c r="L21" s="767"/>
      <c r="M21" s="768" t="s">
        <v>454</v>
      </c>
      <c r="N21" s="871" t="e">
        <f>M90+#REF!+#REF!+#REF!+#REF!+#REF!+#REF!+#REF!+#REF!</f>
        <v>#N/A</v>
      </c>
      <c r="O21" s="871" t="e">
        <f>N90+#REF!+#REF!+#REF!+#REF!+#REF!+#REF!+#REF!+#REF!</f>
        <v>#N/A</v>
      </c>
      <c r="P21" s="769" t="e">
        <f>+O21-N21</f>
        <v>#N/A</v>
      </c>
      <c r="Q21" s="631"/>
    </row>
    <row r="22" spans="3:17" ht="13.5" thickBot="1">
      <c r="C22" s="626" t="s">
        <v>259</v>
      </c>
      <c r="D22" s="766">
        <f>TCOS!H256</f>
        <v>0</v>
      </c>
      <c r="E22" s="628">
        <f>TCOS!J256</f>
        <v>0</v>
      </c>
      <c r="F22" s="629">
        <f>E22*D22</f>
        <v>0</v>
      </c>
      <c r="G22" s="629"/>
      <c r="H22" s="632"/>
      <c r="I22" s="632"/>
      <c r="J22" s="633"/>
      <c r="K22" s="634"/>
      <c r="L22" s="767"/>
      <c r="M22" s="768" t="s">
        <v>260</v>
      </c>
      <c r="N22" s="872" t="e">
        <f>M91+#REF!+#REF!+#REF!+#REF!+#REF!+#REF!+#REF!+#REF!</f>
        <v>#N/A</v>
      </c>
      <c r="O22" s="872" t="e">
        <f>N91+#REF!+#REF!+#REF!+#REF!+#REF!+#REF!+#REF!+#REF!</f>
        <v>#N/A</v>
      </c>
      <c r="P22" s="770" t="e">
        <f>+O22-N22</f>
        <v>#N/A</v>
      </c>
      <c r="Q22" s="634"/>
    </row>
    <row r="23" spans="3:17">
      <c r="C23" s="635" t="s">
        <v>245</v>
      </c>
      <c r="D23" s="766">
        <f>TCOS!H257</f>
        <v>0.54328415064894564</v>
      </c>
      <c r="E23" s="628">
        <f>+F18</f>
        <v>0.10349999999999999</v>
      </c>
      <c r="F23" s="636">
        <f>E23*D23</f>
        <v>5.6229909592165873E-2</v>
      </c>
      <c r="G23" s="636"/>
      <c r="H23" s="632"/>
      <c r="I23" s="632"/>
      <c r="J23" s="633"/>
      <c r="K23" s="634"/>
      <c r="L23" s="767"/>
      <c r="M23" s="768" t="str">
        <f>"True-up of ARR For "&amp;TCOS!L4&amp;""</f>
        <v>True-up of ARR For 2025</v>
      </c>
      <c r="N23" s="691" t="e">
        <f>+N22-N21</f>
        <v>#N/A</v>
      </c>
      <c r="O23" s="691" t="e">
        <f>+O22-O21</f>
        <v>#N/A</v>
      </c>
      <c r="P23" s="771" t="e">
        <f>+P22-P21</f>
        <v>#N/A</v>
      </c>
      <c r="Q23" s="634"/>
    </row>
    <row r="24" spans="3:17">
      <c r="C24" s="637"/>
      <c r="D24" s="345"/>
      <c r="E24" s="638" t="s">
        <v>261</v>
      </c>
      <c r="F24" s="629">
        <f>SUM(F21:F23)</f>
        <v>7.6884997005828432E-2</v>
      </c>
      <c r="G24" s="629"/>
      <c r="H24" s="632"/>
      <c r="I24" s="632"/>
      <c r="J24" s="633"/>
      <c r="K24" s="634"/>
      <c r="L24" s="767"/>
      <c r="M24" s="606"/>
      <c r="N24" s="606"/>
      <c r="O24" s="606"/>
      <c r="P24" s="765"/>
      <c r="Q24" s="634"/>
    </row>
    <row r="25" spans="3:17" ht="13.5" thickBot="1">
      <c r="C25" s="383"/>
      <c r="D25" s="643"/>
      <c r="E25" s="643"/>
      <c r="F25" s="632"/>
      <c r="G25" s="632"/>
      <c r="H25" s="632"/>
      <c r="I25" s="632"/>
      <c r="J25" s="632"/>
      <c r="K25" s="644"/>
      <c r="L25" s="772"/>
      <c r="M25" s="773"/>
      <c r="N25" s="774"/>
      <c r="O25" s="774"/>
      <c r="P25" s="770"/>
      <c r="Q25" s="644"/>
    </row>
    <row r="26" spans="3:17" ht="15.75">
      <c r="C26" s="614" t="str">
        <f>"B.   Determine Return using 'R' with hypothetical "&amp;F17&amp;" basis point ROE increase for Identified Projects."</f>
        <v>B.   Determine Return using 'R' with hypothetical 0 basis point ROE increase for Identified Projects.</v>
      </c>
      <c r="D26" s="643"/>
      <c r="E26" s="643"/>
      <c r="F26" s="648"/>
      <c r="G26" s="648"/>
      <c r="H26" s="632"/>
      <c r="I26" s="616"/>
      <c r="J26" s="632"/>
      <c r="K26" s="644"/>
      <c r="L26" s="632"/>
      <c r="M26" s="632"/>
      <c r="N26" s="632"/>
      <c r="O26" s="632"/>
      <c r="P26" s="632"/>
      <c r="Q26" s="644"/>
    </row>
    <row r="27" spans="3:17">
      <c r="C27" s="619"/>
      <c r="D27" s="643"/>
      <c r="E27" s="643"/>
      <c r="F27" s="644"/>
      <c r="G27" s="644"/>
      <c r="H27" s="644"/>
      <c r="I27" s="644"/>
      <c r="J27" s="644"/>
      <c r="K27" s="644"/>
      <c r="L27" s="644"/>
      <c r="M27" s="644"/>
      <c r="N27" s="644"/>
      <c r="O27" s="644"/>
      <c r="P27" s="644"/>
      <c r="Q27" s="644"/>
    </row>
    <row r="28" spans="3:17">
      <c r="C28" s="653" t="str">
        <f>"   Rate Base  (TCOS, ln "&amp;TCOS!B125&amp;")"</f>
        <v xml:space="preserve">   Rate Base  (TCOS, ln 68)</v>
      </c>
      <c r="D28" s="616"/>
      <c r="E28" s="654">
        <f>TCOS!L125</f>
        <v>1255374227.5051672</v>
      </c>
      <c r="F28" s="775"/>
      <c r="G28" s="775"/>
      <c r="H28" s="644"/>
      <c r="I28" s="644"/>
      <c r="J28" s="644"/>
      <c r="K28" s="644"/>
      <c r="L28" s="644"/>
      <c r="M28" s="644"/>
      <c r="N28" s="644"/>
      <c r="O28" s="644"/>
      <c r="P28" s="775"/>
      <c r="Q28" s="644"/>
    </row>
    <row r="29" spans="3:17">
      <c r="C29" s="619" t="s">
        <v>475</v>
      </c>
      <c r="D29" s="656"/>
      <c r="E29" s="629">
        <f>F24</f>
        <v>7.6884997005828432E-2</v>
      </c>
      <c r="F29" s="644"/>
      <c r="G29" s="644"/>
      <c r="H29" s="644"/>
      <c r="I29" s="644"/>
      <c r="J29" s="644"/>
      <c r="K29" s="644"/>
      <c r="L29" s="644"/>
      <c r="M29" s="644"/>
      <c r="N29" s="644"/>
      <c r="O29" s="644"/>
      <c r="P29" s="644"/>
      <c r="Q29" s="644"/>
    </row>
    <row r="30" spans="3:17">
      <c r="C30" s="657" t="s">
        <v>263</v>
      </c>
      <c r="D30" s="657"/>
      <c r="E30" s="633">
        <f>E28*E29</f>
        <v>96519443.722928971</v>
      </c>
      <c r="F30" s="644"/>
      <c r="G30" s="644"/>
      <c r="H30" s="644"/>
      <c r="I30" s="644"/>
      <c r="J30" s="634"/>
      <c r="K30" s="634"/>
      <c r="L30" s="634"/>
      <c r="M30" s="634"/>
      <c r="N30" s="634"/>
      <c r="O30" s="634"/>
      <c r="P30" s="644"/>
      <c r="Q30" s="634"/>
    </row>
    <row r="31" spans="3:17">
      <c r="C31" s="658"/>
      <c r="D31" s="618"/>
      <c r="E31" s="618"/>
      <c r="F31" s="644"/>
      <c r="G31" s="644"/>
      <c r="H31" s="644"/>
      <c r="I31" s="644"/>
      <c r="J31" s="634"/>
      <c r="K31" s="634"/>
      <c r="L31" s="634"/>
      <c r="M31" s="634"/>
      <c r="N31" s="634"/>
      <c r="O31" s="634"/>
      <c r="P31" s="644"/>
      <c r="Q31" s="634"/>
    </row>
    <row r="32" spans="3:17" ht="15.75">
      <c r="C32" s="614" t="str">
        <f>"C.   Determine Income Taxes using Return with hypothetical "&amp;F17&amp;" basis point ROE increase for Identified Projects."</f>
        <v>C.   Determine Income Taxes using Return with hypothetical 0 basis point ROE increase for Identified Projects.</v>
      </c>
      <c r="D32" s="659"/>
      <c r="E32" s="659"/>
      <c r="F32" s="660"/>
      <c r="G32" s="660"/>
      <c r="H32" s="660"/>
      <c r="I32" s="660"/>
      <c r="J32" s="661"/>
      <c r="K32" s="661"/>
      <c r="L32" s="661"/>
      <c r="M32" s="661"/>
      <c r="N32" s="661"/>
      <c r="O32" s="661"/>
      <c r="P32" s="660"/>
      <c r="Q32" s="661"/>
    </row>
    <row r="33" spans="2:17">
      <c r="C33" s="637"/>
      <c r="D33" s="618"/>
      <c r="E33" s="618"/>
      <c r="F33" s="644"/>
      <c r="G33" s="644"/>
      <c r="H33" s="644"/>
      <c r="I33" s="644"/>
      <c r="J33" s="634"/>
      <c r="K33" s="634"/>
      <c r="L33" s="634"/>
      <c r="M33" s="634"/>
      <c r="N33" s="634"/>
      <c r="O33" s="634"/>
      <c r="P33" s="644"/>
      <c r="Q33" s="634"/>
    </row>
    <row r="34" spans="2:17">
      <c r="C34" s="619" t="s">
        <v>264</v>
      </c>
      <c r="D34" s="638"/>
      <c r="E34" s="662">
        <f>E30</f>
        <v>96519443.722928971</v>
      </c>
      <c r="F34" s="644"/>
      <c r="G34" s="644"/>
      <c r="H34" s="644"/>
      <c r="I34" s="644"/>
      <c r="J34" s="644"/>
      <c r="K34" s="644"/>
      <c r="L34" s="644"/>
      <c r="M34" s="644"/>
      <c r="N34" s="644"/>
      <c r="O34" s="644"/>
      <c r="P34" s="644"/>
      <c r="Q34" s="644"/>
    </row>
    <row r="35" spans="2:17">
      <c r="C35" s="653" t="str">
        <f>"   Effective Tax Rate  (TCOS, ln "&amp;TCOS!B190&amp;")"</f>
        <v xml:space="preserve">   Effective Tax Rate  (TCOS, ln 114)</v>
      </c>
      <c r="D35" s="581"/>
      <c r="E35" s="663">
        <f>TCOS!G190</f>
        <v>0.24330222329224549</v>
      </c>
      <c r="F35" s="558"/>
      <c r="G35" s="558"/>
      <c r="H35" s="558"/>
      <c r="I35" s="664"/>
      <c r="J35" s="558"/>
      <c r="K35" s="606"/>
      <c r="Q35" s="606"/>
    </row>
    <row r="36" spans="2:17">
      <c r="C36" s="658" t="s">
        <v>265</v>
      </c>
      <c r="D36" s="581"/>
      <c r="E36" s="665">
        <f>E34*E35</f>
        <v>23483395.248719387</v>
      </c>
      <c r="F36" s="558"/>
      <c r="G36" s="558"/>
      <c r="H36" s="558"/>
      <c r="I36" s="664"/>
      <c r="J36" s="558"/>
      <c r="K36" s="606"/>
      <c r="Q36" s="606"/>
    </row>
    <row r="37" spans="2:17" ht="15">
      <c r="C37" s="637" t="s">
        <v>303</v>
      </c>
      <c r="D37" s="491"/>
      <c r="E37" s="666">
        <f>TCOS!L199</f>
        <v>335926.14796766505</v>
      </c>
      <c r="F37" s="491"/>
      <c r="G37" s="491"/>
      <c r="H37" s="491"/>
      <c r="I37" s="491"/>
      <c r="J37" s="491"/>
      <c r="K37" s="491"/>
      <c r="L37" s="491"/>
      <c r="M37" s="491"/>
      <c r="N37" s="491"/>
      <c r="O37" s="491"/>
      <c r="P37" s="403"/>
      <c r="Q37" s="491"/>
    </row>
    <row r="38" spans="2:17" ht="15">
      <c r="C38" s="637" t="s">
        <v>534</v>
      </c>
      <c r="D38" s="491"/>
      <c r="E38" s="666">
        <f>TCOS!L200</f>
        <v>-4300728.7747732066</v>
      </c>
      <c r="F38" s="491"/>
      <c r="G38" s="491"/>
      <c r="H38" s="491"/>
      <c r="I38" s="491"/>
      <c r="J38" s="491"/>
      <c r="K38" s="491"/>
      <c r="L38" s="491"/>
      <c r="M38" s="491"/>
      <c r="N38" s="491"/>
      <c r="O38" s="491"/>
      <c r="P38" s="403"/>
      <c r="Q38" s="491"/>
    </row>
    <row r="39" spans="2:17" ht="15">
      <c r="C39" s="637" t="s">
        <v>535</v>
      </c>
      <c r="D39" s="491"/>
      <c r="E39" s="667">
        <f>TCOS!L201</f>
        <v>3036788.1780055165</v>
      </c>
      <c r="F39" s="491"/>
      <c r="G39" s="491"/>
      <c r="H39" s="491"/>
      <c r="I39" s="491"/>
      <c r="J39" s="491"/>
      <c r="K39" s="491"/>
      <c r="L39" s="491"/>
      <c r="M39" s="491"/>
      <c r="N39" s="491"/>
      <c r="O39" s="491"/>
      <c r="P39" s="403"/>
      <c r="Q39" s="491"/>
    </row>
    <row r="40" spans="2:17" ht="15">
      <c r="C40" s="658" t="s">
        <v>266</v>
      </c>
      <c r="D40" s="491"/>
      <c r="E40" s="666">
        <f>E36+E37+E38+E39</f>
        <v>22555380.799919363</v>
      </c>
      <c r="F40" s="491"/>
      <c r="G40" s="491"/>
      <c r="H40" s="491"/>
      <c r="I40" s="491"/>
      <c r="J40" s="491"/>
      <c r="K40" s="491"/>
      <c r="L40" s="491"/>
      <c r="M40" s="491"/>
      <c r="N40" s="491"/>
      <c r="O40" s="491"/>
      <c r="P40" s="361"/>
      <c r="Q40" s="491"/>
    </row>
    <row r="41" spans="2:17" ht="12.75" customHeight="1">
      <c r="C41" s="411"/>
      <c r="D41" s="491"/>
      <c r="E41" s="491"/>
      <c r="F41" s="491"/>
      <c r="G41" s="491"/>
      <c r="H41" s="491"/>
      <c r="I41" s="491"/>
      <c r="J41" s="491"/>
      <c r="K41" s="491"/>
      <c r="L41" s="491"/>
      <c r="M41" s="491"/>
      <c r="N41" s="491"/>
      <c r="O41" s="491"/>
      <c r="P41" s="361"/>
      <c r="Q41" s="491"/>
    </row>
    <row r="42" spans="2:17" ht="18.75">
      <c r="B42" s="613" t="s">
        <v>173</v>
      </c>
      <c r="C42" s="612" t="str">
        <f>"Calculate Net Plant Carrying Charge Rate (Fixed Charge Rate or FCR) with hypothetical "&amp;F17&amp;""</f>
        <v>Calculate Net Plant Carrying Charge Rate (Fixed Charge Rate or FCR) with hypothetical 0</v>
      </c>
      <c r="D42" s="491"/>
      <c r="E42" s="491"/>
      <c r="F42" s="491"/>
      <c r="G42" s="491"/>
      <c r="H42" s="491"/>
      <c r="I42" s="491"/>
      <c r="J42" s="491"/>
      <c r="K42" s="491"/>
      <c r="L42" s="491"/>
      <c r="M42" s="491"/>
      <c r="N42" s="491"/>
      <c r="O42" s="491"/>
      <c r="P42" s="361"/>
      <c r="Q42" s="491"/>
    </row>
    <row r="43" spans="2:17" ht="18.75" customHeight="1">
      <c r="C43" s="612" t="str">
        <f>"basis point ROE increase."</f>
        <v>basis point ROE increase.</v>
      </c>
      <c r="D43" s="491"/>
      <c r="E43" s="491"/>
      <c r="F43" s="491"/>
      <c r="G43" s="491"/>
      <c r="H43" s="491"/>
      <c r="I43" s="491"/>
      <c r="J43" s="491"/>
      <c r="K43" s="491"/>
      <c r="L43" s="491"/>
      <c r="M43" s="491"/>
      <c r="N43" s="491"/>
      <c r="O43" s="491"/>
      <c r="P43" s="361"/>
      <c r="Q43" s="491"/>
    </row>
    <row r="44" spans="2:17" ht="12.75" customHeight="1">
      <c r="C44" s="612"/>
      <c r="D44" s="491"/>
      <c r="E44" s="491"/>
      <c r="F44" s="491"/>
      <c r="G44" s="491"/>
      <c r="H44" s="491"/>
      <c r="I44" s="491"/>
      <c r="J44" s="491"/>
      <c r="K44" s="491"/>
      <c r="L44" s="491"/>
      <c r="M44" s="491"/>
      <c r="N44" s="491"/>
      <c r="O44" s="491"/>
      <c r="P44" s="361"/>
      <c r="Q44" s="491"/>
    </row>
    <row r="45" spans="2:17" ht="15.75">
      <c r="C45" s="614" t="s">
        <v>466</v>
      </c>
      <c r="D45" s="491"/>
      <c r="E45" s="491"/>
      <c r="F45" s="490"/>
      <c r="G45" s="490"/>
      <c r="H45" s="491"/>
      <c r="I45" s="491"/>
      <c r="J45" s="491"/>
      <c r="K45" s="491"/>
      <c r="L45" s="491"/>
      <c r="M45" s="491"/>
      <c r="N45" s="491"/>
      <c r="O45" s="491"/>
      <c r="P45" s="361"/>
      <c r="Q45" s="491"/>
    </row>
    <row r="46" spans="2:17">
      <c r="B46" s="594"/>
      <c r="C46" s="615"/>
      <c r="D46" s="668"/>
      <c r="E46" s="668"/>
      <c r="F46" s="668"/>
      <c r="G46" s="668"/>
      <c r="H46" s="668"/>
      <c r="I46" s="668"/>
      <c r="J46" s="668"/>
      <c r="K46" s="668"/>
      <c r="L46" s="668"/>
      <c r="M46" s="668"/>
      <c r="N46" s="668"/>
      <c r="O46" s="668"/>
      <c r="P46" s="666"/>
      <c r="Q46" s="668"/>
    </row>
    <row r="47" spans="2:17" ht="12.75" customHeight="1">
      <c r="B47" s="594"/>
      <c r="C47" s="653" t="str">
        <f>"   Annual Revenue Requirement  (TCOS, ln "&amp;TCOS!B13&amp;")"</f>
        <v xml:space="preserve">   Annual Revenue Requirement  (TCOS, ln 1)</v>
      </c>
      <c r="D47" s="668"/>
      <c r="E47" s="668"/>
      <c r="F47" s="666">
        <f>TCOS!L13</f>
        <v>222506652.50003731</v>
      </c>
      <c r="G47" s="666"/>
      <c r="H47" s="776" t="s">
        <v>115</v>
      </c>
      <c r="I47" s="668"/>
      <c r="J47" s="668"/>
      <c r="K47" s="668"/>
      <c r="L47" s="668"/>
      <c r="M47" s="668"/>
      <c r="N47" s="668"/>
      <c r="O47" s="668"/>
      <c r="P47" s="666"/>
      <c r="Q47" s="668"/>
    </row>
    <row r="48" spans="2:17" ht="12.75" customHeight="1">
      <c r="B48" s="594"/>
      <c r="C48" s="653" t="str">
        <f>"   Lease Payments (TCOS, Ln "&amp;TCOS!B168&amp;")"</f>
        <v xml:space="preserve">   Lease Payments (TCOS, Ln 95)</v>
      </c>
      <c r="D48" s="668"/>
      <c r="E48" s="668"/>
      <c r="F48" s="666">
        <f>TCOS!L168</f>
        <v>0</v>
      </c>
      <c r="G48" s="666"/>
      <c r="H48" s="776"/>
      <c r="I48" s="668"/>
      <c r="J48" s="668"/>
      <c r="K48" s="668"/>
      <c r="L48" s="668"/>
      <c r="M48" s="668"/>
      <c r="N48" s="668"/>
      <c r="O48" s="668"/>
      <c r="P48" s="666"/>
      <c r="Q48" s="668"/>
    </row>
    <row r="49" spans="2:17">
      <c r="B49" s="594"/>
      <c r="C49" s="653" t="str">
        <f>"   Return  (TCOS, ln "&amp;TCOS!B205&amp;")"</f>
        <v xml:space="preserve">   Return  (TCOS, ln 126)</v>
      </c>
      <c r="D49" s="668"/>
      <c r="E49" s="668"/>
      <c r="F49" s="669">
        <f>TCOS!L205</f>
        <v>96519443.722928971</v>
      </c>
      <c r="G49" s="669"/>
      <c r="H49" s="670"/>
      <c r="I49" s="670"/>
      <c r="J49" s="670"/>
      <c r="K49" s="670"/>
      <c r="L49" s="670"/>
      <c r="M49" s="670"/>
      <c r="N49" s="670"/>
      <c r="O49" s="670"/>
      <c r="P49" s="666"/>
      <c r="Q49" s="670"/>
    </row>
    <row r="50" spans="2:17">
      <c r="B50" s="594"/>
      <c r="C50" s="653" t="str">
        <f>"   Income Taxes  (TCOS, ln "&amp;TCOS!B203&amp;")"</f>
        <v xml:space="preserve">   Income Taxes  (TCOS, ln 125)</v>
      </c>
      <c r="D50" s="668"/>
      <c r="E50" s="668"/>
      <c r="F50" s="671">
        <f>TCOS!L203</f>
        <v>22555380.799919363</v>
      </c>
      <c r="G50" s="671"/>
      <c r="H50" s="668"/>
      <c r="I50" s="668"/>
      <c r="J50" s="672"/>
      <c r="K50" s="672"/>
      <c r="L50" s="672"/>
      <c r="M50" s="672"/>
      <c r="N50" s="672"/>
      <c r="O50" s="672"/>
      <c r="P50" s="668"/>
      <c r="Q50" s="672"/>
    </row>
    <row r="51" spans="2:17">
      <c r="B51" s="594"/>
      <c r="C51" s="1612" t="s">
        <v>592</v>
      </c>
      <c r="D51" s="1609"/>
      <c r="E51" s="668"/>
      <c r="F51" s="669">
        <f>F47-F49-F50-F48</f>
        <v>103431827.97718897</v>
      </c>
      <c r="G51" s="669"/>
      <c r="H51" s="674"/>
      <c r="I51" s="668"/>
      <c r="J51" s="674"/>
      <c r="K51" s="674"/>
      <c r="L51" s="674"/>
      <c r="M51" s="674"/>
      <c r="N51" s="674"/>
      <c r="O51" s="674"/>
      <c r="P51" s="674"/>
      <c r="Q51" s="674"/>
    </row>
    <row r="52" spans="2:17">
      <c r="B52" s="594"/>
      <c r="C52" s="1609"/>
      <c r="D52" s="1609"/>
      <c r="E52" s="668"/>
      <c r="F52" s="666"/>
      <c r="G52" s="666"/>
      <c r="H52" s="675"/>
      <c r="I52" s="676"/>
      <c r="J52" s="676"/>
      <c r="K52" s="676"/>
      <c r="L52" s="676"/>
      <c r="M52" s="676"/>
      <c r="N52" s="676"/>
      <c r="O52" s="676"/>
      <c r="P52" s="676"/>
      <c r="Q52" s="676"/>
    </row>
    <row r="53" spans="2:17" ht="15.75">
      <c r="B53" s="594"/>
      <c r="C53" s="614" t="str">
        <f>"B.   Determine Annual Revenue Requirement with hypothetical "&amp;F17&amp;" basis point increase in ROE."</f>
        <v>B.   Determine Annual Revenue Requirement with hypothetical 0 basis point increase in ROE.</v>
      </c>
      <c r="D53" s="677"/>
      <c r="E53" s="677"/>
      <c r="F53" s="666"/>
      <c r="G53" s="666"/>
      <c r="H53" s="675"/>
      <c r="I53" s="676"/>
      <c r="J53" s="676"/>
      <c r="K53" s="676"/>
      <c r="L53" s="676"/>
      <c r="M53" s="676"/>
      <c r="N53" s="676"/>
      <c r="O53" s="676"/>
      <c r="P53" s="676"/>
      <c r="Q53" s="676"/>
    </row>
    <row r="54" spans="2:17">
      <c r="B54" s="594"/>
      <c r="C54" s="615"/>
      <c r="D54" s="677"/>
      <c r="E54" s="677"/>
      <c r="F54" s="666"/>
      <c r="G54" s="666"/>
      <c r="H54" s="675"/>
      <c r="I54" s="676"/>
      <c r="J54" s="676"/>
      <c r="K54" s="676"/>
      <c r="L54" s="676"/>
      <c r="M54" s="676"/>
      <c r="N54" s="676"/>
      <c r="O54" s="676"/>
      <c r="P54" s="676"/>
      <c r="Q54" s="676"/>
    </row>
    <row r="55" spans="2:17">
      <c r="B55" s="594"/>
      <c r="C55" s="615" t="str">
        <f>C51</f>
        <v xml:space="preserve">   Annual Revenue Requirement, Less Lease Payments, Return and Taxes</v>
      </c>
      <c r="D55" s="677"/>
      <c r="E55" s="677"/>
      <c r="F55" s="666">
        <f>F51</f>
        <v>103431827.97718897</v>
      </c>
      <c r="G55" s="666"/>
      <c r="H55" s="668"/>
      <c r="I55" s="668"/>
      <c r="J55" s="668"/>
      <c r="K55" s="668"/>
      <c r="L55" s="668"/>
      <c r="M55" s="668"/>
      <c r="N55" s="668"/>
      <c r="O55" s="668"/>
      <c r="P55" s="678"/>
      <c r="Q55" s="668"/>
    </row>
    <row r="56" spans="2:17">
      <c r="B56" s="594"/>
      <c r="C56" s="619" t="s">
        <v>300</v>
      </c>
      <c r="D56" s="679"/>
      <c r="E56" s="673"/>
      <c r="F56" s="680">
        <f>E30</f>
        <v>96519443.722928971</v>
      </c>
      <c r="G56" s="680"/>
      <c r="H56" s="673"/>
      <c r="I56" s="681"/>
      <c r="J56" s="673"/>
      <c r="K56" s="673"/>
      <c r="L56" s="673"/>
      <c r="M56" s="673"/>
      <c r="N56" s="673"/>
      <c r="O56" s="673"/>
      <c r="P56" s="673"/>
      <c r="Q56" s="673"/>
    </row>
    <row r="57" spans="2:17" ht="12.75" customHeight="1">
      <c r="B57" s="594"/>
      <c r="C57" s="637" t="s">
        <v>267</v>
      </c>
      <c r="D57" s="668"/>
      <c r="E57" s="668"/>
      <c r="F57" s="671">
        <f>E40</f>
        <v>22555380.799919363</v>
      </c>
      <c r="G57" s="671"/>
      <c r="H57" s="558"/>
      <c r="I57" s="664"/>
      <c r="J57" s="558"/>
      <c r="K57" s="606"/>
      <c r="Q57" s="606"/>
    </row>
    <row r="58" spans="2:17">
      <c r="B58" s="594"/>
      <c r="C58" s="673" t="str">
        <f>"   Annual Revenue Requirement, with "&amp;F17&amp;" Basis Point ROE increase"</f>
        <v xml:space="preserve">   Annual Revenue Requirement, with 0 Basis Point ROE increase</v>
      </c>
      <c r="D58" s="581"/>
      <c r="E58" s="558"/>
      <c r="F58" s="665">
        <f>SUM(F55:F57)</f>
        <v>222506652.50003731</v>
      </c>
      <c r="G58" s="665"/>
      <c r="H58" s="558"/>
      <c r="I58" s="664"/>
      <c r="J58" s="558"/>
      <c r="K58" s="606"/>
      <c r="Q58" s="606"/>
    </row>
    <row r="59" spans="2:17">
      <c r="B59" s="594"/>
      <c r="C59" s="653" t="str">
        <f>"   Depreciation  (TCOS, ln "&amp;TCOS!B174&amp;")"</f>
        <v xml:space="preserve">   Depreciation  (TCOS, ln 100)</v>
      </c>
      <c r="D59" s="581"/>
      <c r="E59" s="558"/>
      <c r="F59" s="682">
        <f>TCOS!L174</f>
        <v>50610583.345770106</v>
      </c>
      <c r="G59" s="682"/>
      <c r="H59" s="665"/>
      <c r="I59" s="664"/>
      <c r="J59" s="558"/>
      <c r="K59" s="606"/>
      <c r="Q59" s="606"/>
    </row>
    <row r="60" spans="2:17">
      <c r="B60" s="594"/>
      <c r="C60" s="1612" t="str">
        <f>"   Annual Rev. Req, w/ "&amp;F17&amp;" Basis Point ROE increase, less Depreciation"</f>
        <v xml:space="preserve">   Annual Rev. Req, w/ 0 Basis Point ROE increase, less Depreciation</v>
      </c>
      <c r="D60" s="1609"/>
      <c r="E60" s="558"/>
      <c r="F60" s="665">
        <f>F58-F59</f>
        <v>171896069.15426719</v>
      </c>
      <c r="G60" s="665"/>
      <c r="H60" s="558"/>
      <c r="I60" s="664"/>
      <c r="J60" s="558"/>
      <c r="K60" s="606"/>
      <c r="Q60" s="606"/>
    </row>
    <row r="61" spans="2:17">
      <c r="B61" s="594"/>
      <c r="C61" s="1609"/>
      <c r="D61" s="1609"/>
      <c r="E61" s="558"/>
      <c r="F61" s="558"/>
      <c r="G61" s="558"/>
      <c r="H61" s="558"/>
      <c r="I61" s="664"/>
      <c r="J61" s="558"/>
      <c r="K61" s="606"/>
      <c r="Q61" s="606"/>
    </row>
    <row r="62" spans="2:17" ht="15.75">
      <c r="B62" s="594"/>
      <c r="C62" s="614" t="str">
        <f>"C.   Determine FCR with hypothetical "&amp;F17&amp;" basis point ROE increase."</f>
        <v>C.   Determine FCR with hypothetical 0 basis point ROE increase.</v>
      </c>
      <c r="D62" s="581"/>
      <c r="E62" s="558"/>
      <c r="F62" s="558"/>
      <c r="G62" s="558"/>
      <c r="H62" s="558"/>
      <c r="I62" s="664"/>
      <c r="J62" s="558"/>
      <c r="K62" s="606"/>
      <c r="Q62" s="606"/>
    </row>
    <row r="63" spans="2:17">
      <c r="B63" s="594"/>
      <c r="C63" s="558"/>
      <c r="D63" s="581"/>
      <c r="E63" s="558"/>
      <c r="F63" s="558"/>
      <c r="G63" s="558"/>
      <c r="H63" s="558"/>
      <c r="I63" s="664"/>
      <c r="J63" s="558"/>
      <c r="K63" s="606"/>
      <c r="Q63" s="606"/>
    </row>
    <row r="64" spans="2:17">
      <c r="B64" s="594"/>
      <c r="C64" s="653" t="str">
        <f>"   Net Transmission Plant  (TCOS, ln "&amp;TCOS!B91&amp;")"</f>
        <v xml:space="preserve">   Net Transmission Plant  (TCOS, ln 42)</v>
      </c>
      <c r="D64" s="581"/>
      <c r="E64" s="558"/>
      <c r="F64" s="665">
        <f>TCOS!L91</f>
        <v>1455643798.7843056</v>
      </c>
      <c r="G64" s="665"/>
      <c r="H64" s="665"/>
      <c r="I64" s="683"/>
      <c r="J64" s="558"/>
      <c r="K64" s="606"/>
      <c r="Q64" s="606"/>
    </row>
    <row r="65" spans="2:17">
      <c r="B65" s="594"/>
      <c r="C65" s="673" t="str">
        <f>"   Annual Revenue Requirement, with "&amp;F17&amp;" Basis Point ROE increase"</f>
        <v xml:space="preserve">   Annual Revenue Requirement, with 0 Basis Point ROE increase</v>
      </c>
      <c r="D65" s="581"/>
      <c r="E65" s="558"/>
      <c r="F65" s="665">
        <f>F58</f>
        <v>222506652.50003731</v>
      </c>
      <c r="G65" s="665"/>
      <c r="H65" s="558"/>
      <c r="I65" s="664"/>
      <c r="J65" s="558"/>
      <c r="K65" s="606"/>
      <c r="Q65" s="606"/>
    </row>
    <row r="66" spans="2:17">
      <c r="B66" s="594"/>
      <c r="C66" s="673" t="str">
        <f>"   FCR with "&amp;F17&amp;" Basis Point increase in ROE"</f>
        <v xml:space="preserve">   FCR with 0 Basis Point increase in ROE</v>
      </c>
      <c r="D66" s="581"/>
      <c r="E66" s="558"/>
      <c r="F66" s="663">
        <f>F65/F64</f>
        <v>0.15285789881141651</v>
      </c>
      <c r="G66" s="663"/>
      <c r="H66" s="663"/>
      <c r="I66" s="664"/>
      <c r="J66" s="558"/>
      <c r="K66" s="606"/>
      <c r="Q66" s="606"/>
    </row>
    <row r="67" spans="2:17">
      <c r="B67" s="594"/>
      <c r="C67" s="383"/>
      <c r="D67" s="581"/>
      <c r="E67" s="558"/>
      <c r="F67" s="594"/>
      <c r="G67" s="594"/>
      <c r="H67" s="558"/>
      <c r="I67" s="664"/>
      <c r="J67" s="558"/>
      <c r="K67" s="606"/>
      <c r="Q67" s="606"/>
    </row>
    <row r="68" spans="2:17">
      <c r="B68" s="594"/>
      <c r="C68" s="673" t="str">
        <f>"   Annual Rev. Req, w / "&amp;F17&amp;" Basis Point ROE increase, less Dep."</f>
        <v xml:space="preserve">   Annual Rev. Req, w / 0 Basis Point ROE increase, less Dep.</v>
      </c>
      <c r="D68" s="581"/>
      <c r="E68" s="558"/>
      <c r="F68" s="665">
        <f>F60</f>
        <v>171896069.15426719</v>
      </c>
      <c r="G68" s="665"/>
      <c r="H68" s="558"/>
      <c r="I68" s="664"/>
      <c r="J68" s="558"/>
      <c r="K68" s="606"/>
      <c r="Q68" s="606"/>
    </row>
    <row r="69" spans="2:17">
      <c r="B69" s="594"/>
      <c r="C69" s="673" t="str">
        <f>"   FCR with "&amp;F17&amp;" Basis Point ROE increase, less Depreciation"</f>
        <v xml:space="preserve">   FCR with 0 Basis Point ROE increase, less Depreciation</v>
      </c>
      <c r="D69" s="581"/>
      <c r="E69" s="558"/>
      <c r="F69" s="663">
        <f>F68/F64</f>
        <v>0.11808937687765908</v>
      </c>
      <c r="G69" s="663"/>
      <c r="H69" s="558"/>
      <c r="I69" s="664"/>
      <c r="J69" s="558"/>
      <c r="K69" s="606"/>
      <c r="Q69" s="606"/>
    </row>
    <row r="70" spans="2:17">
      <c r="B70" s="594"/>
      <c r="C70" s="653" t="str">
        <f>"   FCR less Depreciation  (TCOS, ln "&amp;TCOS!B34&amp;")"</f>
        <v xml:space="preserve">   FCR less Depreciation  (TCOS, ln 10)</v>
      </c>
      <c r="D70" s="581"/>
      <c r="E70" s="558"/>
      <c r="F70" s="684">
        <f>TCOS!L34</f>
        <v>0.11808937687765908</v>
      </c>
      <c r="G70" s="684"/>
      <c r="H70" s="558"/>
      <c r="I70" s="664"/>
      <c r="J70" s="558"/>
      <c r="K70" s="606"/>
      <c r="Q70" s="606"/>
    </row>
    <row r="71" spans="2:17">
      <c r="B71" s="594"/>
      <c r="C71" s="1612" t="str">
        <f>"   Incremental FCR with "&amp;F17&amp;" Basis Point ROE increase, less Depreciation"</f>
        <v xml:space="preserve">   Incremental FCR with 0 Basis Point ROE increase, less Depreciation</v>
      </c>
      <c r="D71" s="1609"/>
      <c r="E71" s="558"/>
      <c r="F71" s="663">
        <f>F69-F70</f>
        <v>0</v>
      </c>
      <c r="G71" s="663"/>
      <c r="H71" s="558"/>
      <c r="I71" s="664"/>
      <c r="J71" s="558"/>
      <c r="K71" s="606"/>
      <c r="Q71" s="606"/>
    </row>
    <row r="72" spans="2:17">
      <c r="B72" s="594"/>
      <c r="C72" s="1609"/>
      <c r="D72" s="1609"/>
      <c r="E72" s="558"/>
      <c r="F72" s="663"/>
      <c r="G72" s="663"/>
      <c r="H72" s="558"/>
      <c r="I72" s="664"/>
      <c r="J72" s="558"/>
      <c r="K72" s="606"/>
      <c r="Q72" s="606"/>
    </row>
    <row r="73" spans="2:17" ht="18.75">
      <c r="B73" s="613" t="s">
        <v>174</v>
      </c>
      <c r="C73" s="612" t="s">
        <v>268</v>
      </c>
      <c r="D73" s="581"/>
      <c r="E73" s="558"/>
      <c r="F73" s="663"/>
      <c r="G73" s="663"/>
      <c r="H73" s="558"/>
      <c r="I73" s="664"/>
      <c r="J73" s="558"/>
      <c r="K73" s="606"/>
      <c r="Q73" s="606"/>
    </row>
    <row r="74" spans="2:17">
      <c r="B74" s="594"/>
      <c r="C74" s="673"/>
      <c r="D74" s="581"/>
      <c r="E74" s="558"/>
      <c r="F74" s="663"/>
      <c r="G74" s="663"/>
      <c r="H74" s="558"/>
      <c r="I74" s="664"/>
      <c r="J74" s="558"/>
      <c r="K74" s="606"/>
      <c r="Q74" s="606"/>
    </row>
    <row r="75" spans="2:17">
      <c r="B75" s="594"/>
      <c r="C75" s="673" t="str">
        <f>+"Average Transmission Plant Balance for "&amp;TCOS!L4&amp;" (TCOS, ln "&amp;TCOS!B68&amp;")"</f>
        <v>Average Transmission Plant Balance for 2025 (TCOS, ln 21)</v>
      </c>
      <c r="D75" s="581"/>
      <c r="H75" s="664">
        <f>TCOS!L68</f>
        <v>1933881822.3947282</v>
      </c>
      <c r="J75" s="558"/>
      <c r="K75" s="606"/>
      <c r="Q75" s="606"/>
    </row>
    <row r="76" spans="2:17">
      <c r="B76" s="594"/>
      <c r="C76" s="685" t="str">
        <f>"Annual Depreciation and Amortization Expense (TCOS, ln "&amp;TCOS!B174&amp;")"</f>
        <v>Annual Depreciation and Amortization Expense (TCOS, ln 100)</v>
      </c>
      <c r="D76" s="581"/>
      <c r="E76" s="558"/>
      <c r="H76" s="686">
        <f>TCOS!L174</f>
        <v>50610583.345770106</v>
      </c>
      <c r="I76" s="664"/>
      <c r="J76" s="558"/>
      <c r="K76" s="606"/>
      <c r="Q76" s="606"/>
    </row>
    <row r="77" spans="2:17">
      <c r="B77" s="594"/>
      <c r="C77" s="673" t="s">
        <v>269</v>
      </c>
      <c r="D77" s="581"/>
      <c r="E77" s="558"/>
      <c r="H77" s="663">
        <f>+H76/H75</f>
        <v>2.6170463344600322E-2</v>
      </c>
      <c r="I77" s="688"/>
      <c r="J77" s="558"/>
      <c r="K77" s="606"/>
      <c r="Q77" s="606"/>
    </row>
    <row r="78" spans="2:17">
      <c r="B78" s="594"/>
      <c r="C78" s="673" t="s">
        <v>270</v>
      </c>
      <c r="D78" s="581"/>
      <c r="E78" s="558"/>
      <c r="H78" s="688">
        <f>1/H77</f>
        <v>38.211016245011464</v>
      </c>
      <c r="I78" s="664"/>
      <c r="J78" s="558"/>
      <c r="K78" s="606"/>
      <c r="Q78" s="606"/>
    </row>
    <row r="79" spans="2:17">
      <c r="B79" s="594"/>
      <c r="C79" s="673" t="s">
        <v>271</v>
      </c>
      <c r="D79" s="581"/>
      <c r="E79" s="558"/>
      <c r="H79" s="689">
        <f>ROUND(H78,0)</f>
        <v>38</v>
      </c>
      <c r="I79" s="664"/>
      <c r="J79" s="558"/>
      <c r="K79" s="606"/>
      <c r="Q79" s="606"/>
    </row>
    <row r="80" spans="2:17">
      <c r="B80" s="594"/>
      <c r="C80" s="673"/>
      <c r="D80" s="581"/>
      <c r="E80" s="558"/>
      <c r="H80" s="689"/>
      <c r="I80" s="664"/>
      <c r="J80" s="558"/>
      <c r="K80" s="606"/>
      <c r="Q80" s="606"/>
    </row>
    <row r="81" spans="1:17">
      <c r="C81" s="690"/>
      <c r="D81" s="691"/>
      <c r="E81" s="691"/>
      <c r="F81" s="691"/>
      <c r="G81" s="691"/>
      <c r="H81" s="687"/>
      <c r="I81" s="687"/>
      <c r="J81" s="692"/>
      <c r="K81" s="692"/>
      <c r="L81" s="692"/>
      <c r="M81" s="692"/>
      <c r="N81" s="692"/>
      <c r="O81" s="692"/>
      <c r="Q81" s="692"/>
    </row>
    <row r="82" spans="1:17">
      <c r="B82" s="345"/>
      <c r="C82" s="690"/>
      <c r="D82" s="691"/>
      <c r="E82" s="691"/>
      <c r="F82" s="691"/>
      <c r="G82" s="691"/>
      <c r="H82" s="687"/>
      <c r="I82" s="687"/>
      <c r="J82" s="692"/>
      <c r="K82" s="692"/>
      <c r="L82" s="692"/>
      <c r="M82" s="692"/>
      <c r="N82" s="692"/>
      <c r="O82" s="692"/>
      <c r="Q82" s="692"/>
    </row>
    <row r="83" spans="1:17" ht="20.25">
      <c r="A83" s="693" t="s">
        <v>760</v>
      </c>
      <c r="B83" s="558"/>
      <c r="C83" s="673"/>
      <c r="D83" s="581"/>
      <c r="E83" s="558"/>
      <c r="F83" s="663"/>
      <c r="G83" s="663"/>
      <c r="H83" s="558"/>
      <c r="I83" s="664"/>
      <c r="L83" s="694"/>
      <c r="M83" s="694"/>
      <c r="N83" s="694"/>
      <c r="O83" s="609" t="str">
        <f>"Page "&amp;SUM(Q$3:Q83)&amp;" of "</f>
        <v xml:space="preserve">Page 2 of </v>
      </c>
      <c r="P83" s="610">
        <f>COUNT(Q$8:Q$58122)</f>
        <v>2</v>
      </c>
      <c r="Q83" s="777">
        <v>1</v>
      </c>
    </row>
    <row r="84" spans="1:17">
      <c r="B84" s="558"/>
      <c r="C84" s="558"/>
      <c r="D84" s="581"/>
      <c r="E84" s="558"/>
      <c r="F84" s="558"/>
      <c r="G84" s="558"/>
      <c r="H84" s="558"/>
      <c r="I84" s="664"/>
      <c r="J84" s="558"/>
      <c r="K84" s="606"/>
      <c r="Q84" s="606"/>
    </row>
    <row r="85" spans="1:17" ht="18">
      <c r="B85" s="613" t="s">
        <v>175</v>
      </c>
      <c r="C85" s="695" t="s">
        <v>291</v>
      </c>
      <c r="D85" s="581"/>
      <c r="E85" s="558"/>
      <c r="F85" s="558"/>
      <c r="G85" s="558"/>
      <c r="H85" s="558"/>
      <c r="I85" s="664"/>
      <c r="J85" s="664"/>
      <c r="K85" s="687"/>
      <c r="L85" s="664"/>
      <c r="M85" s="664"/>
      <c r="N85" s="664"/>
      <c r="O85" s="664"/>
      <c r="Q85" s="687"/>
    </row>
    <row r="86" spans="1:17" ht="18.75">
      <c r="B86" s="613"/>
      <c r="C86" s="612"/>
      <c r="D86" s="581"/>
      <c r="E86" s="558"/>
      <c r="F86" s="558"/>
      <c r="G86" s="558"/>
      <c r="H86" s="558"/>
      <c r="I86" s="664"/>
      <c r="J86" s="664"/>
      <c r="K86" s="687"/>
      <c r="L86" s="664"/>
      <c r="M86" s="664"/>
      <c r="N86" s="664"/>
      <c r="O86" s="664"/>
      <c r="Q86" s="687"/>
    </row>
    <row r="87" spans="1:17" ht="18.75">
      <c r="B87" s="613"/>
      <c r="C87" s="612" t="s">
        <v>292</v>
      </c>
      <c r="D87" s="581"/>
      <c r="E87" s="558"/>
      <c r="F87" s="558"/>
      <c r="G87" s="558"/>
      <c r="H87" s="558"/>
      <c r="I87" s="664"/>
      <c r="J87" s="664"/>
      <c r="K87" s="687"/>
      <c r="L87" s="664"/>
      <c r="M87" s="664"/>
      <c r="N87" s="664"/>
      <c r="O87" s="664"/>
      <c r="Q87" s="687"/>
    </row>
    <row r="88" spans="1:17" ht="15.75" thickBot="1">
      <c r="B88" s="345"/>
      <c r="C88" s="411"/>
      <c r="D88" s="581"/>
      <c r="E88" s="558"/>
      <c r="F88" s="558"/>
      <c r="G88" s="558"/>
      <c r="H88" s="558"/>
      <c r="I88" s="664"/>
      <c r="J88" s="664"/>
      <c r="K88" s="687"/>
      <c r="L88" s="664"/>
      <c r="M88" s="664"/>
      <c r="N88" s="664"/>
      <c r="O88" s="664"/>
      <c r="Q88" s="687"/>
    </row>
    <row r="89" spans="1:17" ht="15.75">
      <c r="B89" s="345"/>
      <c r="C89" s="614" t="s">
        <v>293</v>
      </c>
      <c r="D89" s="581"/>
      <c r="E89" s="558"/>
      <c r="F89" s="558"/>
      <c r="G89" s="558"/>
      <c r="H89" s="862"/>
      <c r="I89" s="558" t="s">
        <v>272</v>
      </c>
      <c r="J89" s="558"/>
      <c r="K89" s="606"/>
      <c r="L89" s="778">
        <f>+J95</f>
        <v>2016</v>
      </c>
      <c r="M89" s="760" t="s">
        <v>255</v>
      </c>
      <c r="N89" s="760" t="s">
        <v>256</v>
      </c>
      <c r="O89" s="761" t="s">
        <v>257</v>
      </c>
      <c r="Q89" s="606"/>
    </row>
    <row r="90" spans="1:17" ht="15.75">
      <c r="B90" s="345"/>
      <c r="C90" s="614"/>
      <c r="D90" s="581"/>
      <c r="E90" s="558"/>
      <c r="F90" s="558"/>
      <c r="H90" s="558"/>
      <c r="I90" s="699"/>
      <c r="J90" s="699"/>
      <c r="K90" s="700"/>
      <c r="L90" s="779" t="s">
        <v>456</v>
      </c>
      <c r="M90" s="780" t="e">
        <f>VLOOKUP(J95,C102:P161,10)</f>
        <v>#N/A</v>
      </c>
      <c r="N90" s="780" t="e">
        <f>VLOOKUP(J95,C102:P161,12)</f>
        <v>#N/A</v>
      </c>
      <c r="O90" s="781" t="e">
        <f>+N90-M90</f>
        <v>#N/A</v>
      </c>
      <c r="Q90" s="700"/>
    </row>
    <row r="91" spans="1:17">
      <c r="B91" s="345"/>
      <c r="C91" s="702" t="s">
        <v>294</v>
      </c>
      <c r="D91" s="873"/>
      <c r="E91" s="873"/>
      <c r="F91" s="873"/>
      <c r="G91" s="873"/>
      <c r="H91" s="873"/>
      <c r="I91" s="664"/>
      <c r="J91" s="664"/>
      <c r="K91" s="687"/>
      <c r="L91" s="779" t="s">
        <v>457</v>
      </c>
      <c r="M91" s="782" t="e">
        <f>VLOOKUP(J95,C102:P161,6)</f>
        <v>#N/A</v>
      </c>
      <c r="N91" s="782" t="e">
        <f>VLOOKUP(J95,C102:P161,7)</f>
        <v>#N/A</v>
      </c>
      <c r="O91" s="783" t="e">
        <f>+N91-M91</f>
        <v>#N/A</v>
      </c>
      <c r="Q91" s="687"/>
    </row>
    <row r="92" spans="1:17" ht="13.5" thickBot="1">
      <c r="B92" s="345"/>
      <c r="C92" s="704"/>
      <c r="D92" s="705"/>
      <c r="E92" s="689"/>
      <c r="F92" s="689"/>
      <c r="G92" s="689"/>
      <c r="H92" s="706"/>
      <c r="I92" s="664"/>
      <c r="J92" s="664"/>
      <c r="K92" s="687"/>
      <c r="L92" s="724" t="s">
        <v>458</v>
      </c>
      <c r="M92" s="784" t="e">
        <f>+M91-M90</f>
        <v>#N/A</v>
      </c>
      <c r="N92" s="784" t="e">
        <f>+N91-N90</f>
        <v>#N/A</v>
      </c>
      <c r="O92" s="785" t="e">
        <f>+O91-O90</f>
        <v>#N/A</v>
      </c>
      <c r="Q92" s="687"/>
    </row>
    <row r="93" spans="1:17" ht="13.5" thickBot="1">
      <c r="B93" s="345"/>
      <c r="C93" s="707"/>
      <c r="D93" s="708"/>
      <c r="E93" s="706"/>
      <c r="F93" s="706"/>
      <c r="G93" s="706"/>
      <c r="H93" s="706"/>
      <c r="I93" s="706"/>
      <c r="J93" s="706"/>
      <c r="K93" s="709"/>
      <c r="L93" s="706"/>
      <c r="M93" s="706"/>
      <c r="N93" s="706"/>
      <c r="O93" s="706"/>
      <c r="P93" s="594"/>
      <c r="Q93" s="709"/>
    </row>
    <row r="94" spans="1:17" ht="13.5" thickBot="1">
      <c r="B94" s="345"/>
      <c r="C94" s="710" t="s">
        <v>295</v>
      </c>
      <c r="D94" s="711"/>
      <c r="E94" s="711"/>
      <c r="F94" s="711"/>
      <c r="G94" s="711"/>
      <c r="H94" s="711"/>
      <c r="I94" s="711"/>
      <c r="J94" s="711"/>
      <c r="K94" s="713"/>
      <c r="P94" s="714"/>
      <c r="Q94" s="713"/>
    </row>
    <row r="95" spans="1:17" ht="15">
      <c r="A95" s="757"/>
      <c r="B95" s="345"/>
      <c r="C95" s="716" t="s">
        <v>273</v>
      </c>
      <c r="D95" s="863"/>
      <c r="E95" s="673" t="s">
        <v>274</v>
      </c>
      <c r="H95" s="717"/>
      <c r="I95" s="717"/>
      <c r="J95" s="718">
        <v>2016</v>
      </c>
      <c r="K95" s="604"/>
      <c r="L95" s="1613" t="s">
        <v>275</v>
      </c>
      <c r="M95" s="1613"/>
      <c r="N95" s="1613"/>
      <c r="O95" s="1613"/>
      <c r="P95" s="606"/>
      <c r="Q95" s="604"/>
    </row>
    <row r="96" spans="1:17">
      <c r="A96" s="757"/>
      <c r="B96" s="345"/>
      <c r="C96" s="716" t="s">
        <v>276</v>
      </c>
      <c r="D96" s="874"/>
      <c r="E96" s="716" t="s">
        <v>277</v>
      </c>
      <c r="F96" s="717"/>
      <c r="G96" s="717"/>
      <c r="I96" s="345"/>
      <c r="J96" s="867">
        <v>0</v>
      </c>
      <c r="K96" s="719"/>
      <c r="L96" s="687" t="s">
        <v>476</v>
      </c>
      <c r="P96" s="606"/>
      <c r="Q96" s="719"/>
    </row>
    <row r="97" spans="1:17">
      <c r="A97" s="757"/>
      <c r="B97" s="345"/>
      <c r="C97" s="716" t="s">
        <v>278</v>
      </c>
      <c r="D97" s="865"/>
      <c r="E97" s="716" t="s">
        <v>279</v>
      </c>
      <c r="F97" s="717"/>
      <c r="G97" s="717"/>
      <c r="I97" s="345"/>
      <c r="J97" s="720">
        <f>$F$70</f>
        <v>0.11808937687765908</v>
      </c>
      <c r="K97" s="721"/>
      <c r="L97" s="558" t="str">
        <f>"          INPUT TRUE-UP ARR (WITH &amp; WITHOUT INCENTIVES) FROM EACH PRIOR YEAR"</f>
        <v xml:space="preserve">          INPUT TRUE-UP ARR (WITH &amp; WITHOUT INCENTIVES) FROM EACH PRIOR YEAR</v>
      </c>
      <c r="P97" s="606"/>
      <c r="Q97" s="721"/>
    </row>
    <row r="98" spans="1:17">
      <c r="A98" s="757"/>
      <c r="B98" s="345"/>
      <c r="C98" s="716" t="s">
        <v>280</v>
      </c>
      <c r="D98" s="722">
        <f>H79</f>
        <v>38</v>
      </c>
      <c r="E98" s="716" t="s">
        <v>281</v>
      </c>
      <c r="F98" s="717"/>
      <c r="G98" s="717"/>
      <c r="I98" s="345"/>
      <c r="J98" s="720">
        <f>IF(H89="",J97,$F$69)</f>
        <v>0.11808937687765908</v>
      </c>
      <c r="K98" s="723"/>
      <c r="L98" s="558" t="s">
        <v>363</v>
      </c>
      <c r="M98" s="723"/>
      <c r="N98" s="723"/>
      <c r="O98" s="723"/>
      <c r="P98" s="606"/>
      <c r="Q98" s="723"/>
    </row>
    <row r="99" spans="1:17" ht="13.5" thickBot="1">
      <c r="A99" s="757"/>
      <c r="B99" s="345"/>
      <c r="C99" s="716" t="s">
        <v>282</v>
      </c>
      <c r="D99" s="866"/>
      <c r="E99" s="724" t="s">
        <v>283</v>
      </c>
      <c r="F99" s="725"/>
      <c r="G99" s="725"/>
      <c r="H99" s="726"/>
      <c r="I99" s="726"/>
      <c r="J99" s="703">
        <f>IF(D95=0,0,D95/D98)</f>
        <v>0</v>
      </c>
      <c r="K99" s="687"/>
      <c r="L99" s="687" t="s">
        <v>364</v>
      </c>
      <c r="M99" s="687"/>
      <c r="N99" s="687"/>
      <c r="O99" s="687"/>
      <c r="P99" s="606"/>
      <c r="Q99" s="687"/>
    </row>
    <row r="100" spans="1:17" ht="38.25">
      <c r="A100" s="545"/>
      <c r="B100" s="545"/>
      <c r="C100" s="727" t="s">
        <v>273</v>
      </c>
      <c r="D100" s="728" t="s">
        <v>284</v>
      </c>
      <c r="E100" s="729" t="s">
        <v>285</v>
      </c>
      <c r="F100" s="728" t="s">
        <v>286</v>
      </c>
      <c r="G100" s="728" t="s">
        <v>459</v>
      </c>
      <c r="H100" s="729" t="s">
        <v>357</v>
      </c>
      <c r="I100" s="730" t="s">
        <v>357</v>
      </c>
      <c r="J100" s="727" t="s">
        <v>296</v>
      </c>
      <c r="K100" s="731"/>
      <c r="L100" s="729" t="s">
        <v>359</v>
      </c>
      <c r="M100" s="729" t="s">
        <v>365</v>
      </c>
      <c r="N100" s="729" t="s">
        <v>359</v>
      </c>
      <c r="O100" s="729" t="s">
        <v>367</v>
      </c>
      <c r="P100" s="729" t="s">
        <v>287</v>
      </c>
      <c r="Q100" s="732"/>
    </row>
    <row r="101" spans="1:17" ht="13.5" thickBot="1">
      <c r="B101" s="345"/>
      <c r="C101" s="733" t="s">
        <v>178</v>
      </c>
      <c r="D101" s="734" t="s">
        <v>179</v>
      </c>
      <c r="E101" s="733" t="s">
        <v>38</v>
      </c>
      <c r="F101" s="734" t="s">
        <v>179</v>
      </c>
      <c r="G101" s="734" t="s">
        <v>179</v>
      </c>
      <c r="H101" s="735" t="s">
        <v>299</v>
      </c>
      <c r="I101" s="736" t="s">
        <v>301</v>
      </c>
      <c r="J101" s="737" t="s">
        <v>390</v>
      </c>
      <c r="K101" s="738"/>
      <c r="L101" s="735" t="s">
        <v>288</v>
      </c>
      <c r="M101" s="735" t="s">
        <v>288</v>
      </c>
      <c r="N101" s="735" t="s">
        <v>468</v>
      </c>
      <c r="O101" s="735" t="s">
        <v>468</v>
      </c>
      <c r="P101" s="735" t="s">
        <v>468</v>
      </c>
      <c r="Q101" s="604"/>
    </row>
    <row r="102" spans="1:17">
      <c r="B102" s="345"/>
      <c r="C102" s="739" t="str">
        <f>IF(D96= "","-",D96)</f>
        <v>-</v>
      </c>
      <c r="D102" s="691">
        <f>+D95</f>
        <v>0</v>
      </c>
      <c r="E102" s="740">
        <f>+J99/12*(12-D97)</f>
        <v>0</v>
      </c>
      <c r="F102" s="786">
        <f t="shared" ref="F102:F133" si="0">+D102-E102</f>
        <v>0</v>
      </c>
      <c r="G102" s="691">
        <f t="shared" ref="G102:G133" si="1">+(D102+F102)/2</f>
        <v>0</v>
      </c>
      <c r="H102" s="741">
        <f>+J97*G102+E102</f>
        <v>0</v>
      </c>
      <c r="I102" s="742">
        <f>+J98*G102+E102</f>
        <v>0</v>
      </c>
      <c r="J102" s="743">
        <f t="shared" ref="J102:J133" si="2">+I102-H102</f>
        <v>0</v>
      </c>
      <c r="K102" s="743"/>
      <c r="L102" s="744"/>
      <c r="M102" s="787">
        <f t="shared" ref="M102:M133" si="3">IF(L102&lt;&gt;0,+H102-L102,0)</f>
        <v>0</v>
      </c>
      <c r="N102" s="744"/>
      <c r="O102" s="787">
        <f t="shared" ref="O102:O133" si="4">IF(N102&lt;&gt;0,+I102-N102,0)</f>
        <v>0</v>
      </c>
      <c r="P102" s="787">
        <f t="shared" ref="P102:P133" si="5">+O102-M102</f>
        <v>0</v>
      </c>
      <c r="Q102" s="692"/>
    </row>
    <row r="103" spans="1:17">
      <c r="B103" s="345"/>
      <c r="C103" s="739" t="str">
        <f>IF(D96="","-",+C102+1)</f>
        <v>-</v>
      </c>
      <c r="D103" s="691">
        <f t="shared" ref="D103:D134" si="6">F102</f>
        <v>0</v>
      </c>
      <c r="E103" s="746">
        <f t="shared" ref="E103:E134" si="7">IF(D103&gt;$J$99,$J$99,D103)</f>
        <v>0</v>
      </c>
      <c r="F103" s="746">
        <f t="shared" si="0"/>
        <v>0</v>
      </c>
      <c r="G103" s="691">
        <f t="shared" si="1"/>
        <v>0</v>
      </c>
      <c r="H103" s="740">
        <f>+J97*G103+E103</f>
        <v>0</v>
      </c>
      <c r="I103" s="747">
        <f>+J98*G103+E103</f>
        <v>0</v>
      </c>
      <c r="J103" s="743">
        <f t="shared" si="2"/>
        <v>0</v>
      </c>
      <c r="K103" s="743"/>
      <c r="L103" s="748"/>
      <c r="M103" s="743">
        <f t="shared" si="3"/>
        <v>0</v>
      </c>
      <c r="N103" s="748"/>
      <c r="O103" s="743">
        <f t="shared" si="4"/>
        <v>0</v>
      </c>
      <c r="P103" s="743">
        <f t="shared" si="5"/>
        <v>0</v>
      </c>
      <c r="Q103" s="692"/>
    </row>
    <row r="104" spans="1:17">
      <c r="B104" s="345"/>
      <c r="C104" s="739" t="str">
        <f>IF(D96="","-",+C103+1)</f>
        <v>-</v>
      </c>
      <c r="D104" s="691">
        <f t="shared" si="6"/>
        <v>0</v>
      </c>
      <c r="E104" s="746">
        <f t="shared" si="7"/>
        <v>0</v>
      </c>
      <c r="F104" s="746">
        <f t="shared" si="0"/>
        <v>0</v>
      </c>
      <c r="G104" s="691">
        <f t="shared" si="1"/>
        <v>0</v>
      </c>
      <c r="H104" s="740">
        <f>+J97*G104+E104</f>
        <v>0</v>
      </c>
      <c r="I104" s="747">
        <f>+J98*G104+E104</f>
        <v>0</v>
      </c>
      <c r="J104" s="743">
        <f t="shared" si="2"/>
        <v>0</v>
      </c>
      <c r="K104" s="743"/>
      <c r="L104" s="748"/>
      <c r="M104" s="743">
        <f t="shared" si="3"/>
        <v>0</v>
      </c>
      <c r="N104" s="748"/>
      <c r="O104" s="743">
        <f t="shared" si="4"/>
        <v>0</v>
      </c>
      <c r="P104" s="743">
        <f t="shared" si="5"/>
        <v>0</v>
      </c>
      <c r="Q104" s="692"/>
    </row>
    <row r="105" spans="1:17">
      <c r="B105" s="345"/>
      <c r="C105" s="739" t="str">
        <f>IF(D96="","-",+C104+1)</f>
        <v>-</v>
      </c>
      <c r="D105" s="691">
        <f t="shared" si="6"/>
        <v>0</v>
      </c>
      <c r="E105" s="746">
        <f t="shared" si="7"/>
        <v>0</v>
      </c>
      <c r="F105" s="746">
        <f t="shared" si="0"/>
        <v>0</v>
      </c>
      <c r="G105" s="691">
        <f t="shared" si="1"/>
        <v>0</v>
      </c>
      <c r="H105" s="740">
        <f>+J97*G105+E105</f>
        <v>0</v>
      </c>
      <c r="I105" s="747">
        <f>+J98*G105+E105</f>
        <v>0</v>
      </c>
      <c r="J105" s="743">
        <f t="shared" si="2"/>
        <v>0</v>
      </c>
      <c r="K105" s="743"/>
      <c r="L105" s="748"/>
      <c r="M105" s="743">
        <f t="shared" si="3"/>
        <v>0</v>
      </c>
      <c r="N105" s="748"/>
      <c r="O105" s="743">
        <f t="shared" si="4"/>
        <v>0</v>
      </c>
      <c r="P105" s="743">
        <f t="shared" si="5"/>
        <v>0</v>
      </c>
      <c r="Q105" s="692"/>
    </row>
    <row r="106" spans="1:17">
      <c r="B106" s="345"/>
      <c r="C106" s="739" t="str">
        <f>IF(D96="","-",+C105+1)</f>
        <v>-</v>
      </c>
      <c r="D106" s="691">
        <f t="shared" si="6"/>
        <v>0</v>
      </c>
      <c r="E106" s="746">
        <f t="shared" si="7"/>
        <v>0</v>
      </c>
      <c r="F106" s="746">
        <f t="shared" si="0"/>
        <v>0</v>
      </c>
      <c r="G106" s="691">
        <f t="shared" si="1"/>
        <v>0</v>
      </c>
      <c r="H106" s="740">
        <f>+J97*G106+E106</f>
        <v>0</v>
      </c>
      <c r="I106" s="747">
        <f>+J98*G106+E106</f>
        <v>0</v>
      </c>
      <c r="J106" s="743">
        <f t="shared" si="2"/>
        <v>0</v>
      </c>
      <c r="K106" s="743"/>
      <c r="L106" s="748"/>
      <c r="M106" s="743">
        <f t="shared" si="3"/>
        <v>0</v>
      </c>
      <c r="N106" s="748"/>
      <c r="O106" s="743">
        <f t="shared" si="4"/>
        <v>0</v>
      </c>
      <c r="P106" s="743">
        <f t="shared" si="5"/>
        <v>0</v>
      </c>
      <c r="Q106" s="692"/>
    </row>
    <row r="107" spans="1:17">
      <c r="B107" s="345"/>
      <c r="C107" s="739" t="str">
        <f>IF(D96="","-",+C106+1)</f>
        <v>-</v>
      </c>
      <c r="D107" s="691">
        <f t="shared" si="6"/>
        <v>0</v>
      </c>
      <c r="E107" s="746">
        <f t="shared" si="7"/>
        <v>0</v>
      </c>
      <c r="F107" s="746">
        <f t="shared" si="0"/>
        <v>0</v>
      </c>
      <c r="G107" s="691">
        <f t="shared" si="1"/>
        <v>0</v>
      </c>
      <c r="H107" s="740">
        <f>+J97*G107+E107</f>
        <v>0</v>
      </c>
      <c r="I107" s="747">
        <f>+J98*G107+E107</f>
        <v>0</v>
      </c>
      <c r="J107" s="743">
        <f t="shared" si="2"/>
        <v>0</v>
      </c>
      <c r="K107" s="743"/>
      <c r="L107" s="748"/>
      <c r="M107" s="743">
        <f t="shared" si="3"/>
        <v>0</v>
      </c>
      <c r="N107" s="748"/>
      <c r="O107" s="743">
        <f t="shared" si="4"/>
        <v>0</v>
      </c>
      <c r="P107" s="743">
        <f t="shared" si="5"/>
        <v>0</v>
      </c>
      <c r="Q107" s="692"/>
    </row>
    <row r="108" spans="1:17">
      <c r="B108" s="345"/>
      <c r="C108" s="739" t="str">
        <f>IF(D96="","-",+C107+1)</f>
        <v>-</v>
      </c>
      <c r="D108" s="691">
        <f t="shared" si="6"/>
        <v>0</v>
      </c>
      <c r="E108" s="746">
        <f t="shared" si="7"/>
        <v>0</v>
      </c>
      <c r="F108" s="746">
        <f t="shared" si="0"/>
        <v>0</v>
      </c>
      <c r="G108" s="691">
        <f t="shared" si="1"/>
        <v>0</v>
      </c>
      <c r="H108" s="740">
        <f>+J97*G108+E108</f>
        <v>0</v>
      </c>
      <c r="I108" s="747">
        <f>+J98*G108+E108</f>
        <v>0</v>
      </c>
      <c r="J108" s="743">
        <f t="shared" si="2"/>
        <v>0</v>
      </c>
      <c r="K108" s="743"/>
      <c r="L108" s="748"/>
      <c r="M108" s="743">
        <f t="shared" si="3"/>
        <v>0</v>
      </c>
      <c r="N108" s="748"/>
      <c r="O108" s="743">
        <f t="shared" si="4"/>
        <v>0</v>
      </c>
      <c r="P108" s="743">
        <f t="shared" si="5"/>
        <v>0</v>
      </c>
      <c r="Q108" s="692"/>
    </row>
    <row r="109" spans="1:17">
      <c r="B109" s="345"/>
      <c r="C109" s="739" t="str">
        <f>IF(D96="","-",+C108+1)</f>
        <v>-</v>
      </c>
      <c r="D109" s="691">
        <f t="shared" si="6"/>
        <v>0</v>
      </c>
      <c r="E109" s="746">
        <f t="shared" si="7"/>
        <v>0</v>
      </c>
      <c r="F109" s="746">
        <f t="shared" si="0"/>
        <v>0</v>
      </c>
      <c r="G109" s="691">
        <f t="shared" si="1"/>
        <v>0</v>
      </c>
      <c r="H109" s="740">
        <f>+J97*G109+E109</f>
        <v>0</v>
      </c>
      <c r="I109" s="747">
        <f>+J98*G109+E109</f>
        <v>0</v>
      </c>
      <c r="J109" s="743">
        <f t="shared" si="2"/>
        <v>0</v>
      </c>
      <c r="K109" s="743"/>
      <c r="L109" s="748"/>
      <c r="M109" s="743">
        <f t="shared" si="3"/>
        <v>0</v>
      </c>
      <c r="N109" s="748"/>
      <c r="O109" s="743">
        <f t="shared" si="4"/>
        <v>0</v>
      </c>
      <c r="P109" s="743">
        <f t="shared" si="5"/>
        <v>0</v>
      </c>
      <c r="Q109" s="692"/>
    </row>
    <row r="110" spans="1:17">
      <c r="B110" s="345"/>
      <c r="C110" s="739" t="str">
        <f>IF(D96="","-",+C109+1)</f>
        <v>-</v>
      </c>
      <c r="D110" s="691">
        <f t="shared" si="6"/>
        <v>0</v>
      </c>
      <c r="E110" s="746">
        <f t="shared" si="7"/>
        <v>0</v>
      </c>
      <c r="F110" s="746">
        <f t="shared" si="0"/>
        <v>0</v>
      </c>
      <c r="G110" s="691">
        <f t="shared" si="1"/>
        <v>0</v>
      </c>
      <c r="H110" s="740">
        <f>+J97*G110+E110</f>
        <v>0</v>
      </c>
      <c r="I110" s="747">
        <f>+J98*G110+E110</f>
        <v>0</v>
      </c>
      <c r="J110" s="743">
        <f t="shared" si="2"/>
        <v>0</v>
      </c>
      <c r="K110" s="743"/>
      <c r="L110" s="748"/>
      <c r="M110" s="743">
        <f t="shared" si="3"/>
        <v>0</v>
      </c>
      <c r="N110" s="748"/>
      <c r="O110" s="743">
        <f t="shared" si="4"/>
        <v>0</v>
      </c>
      <c r="P110" s="743">
        <f t="shared" si="5"/>
        <v>0</v>
      </c>
      <c r="Q110" s="692"/>
    </row>
    <row r="111" spans="1:17">
      <c r="B111" s="345"/>
      <c r="C111" s="739" t="str">
        <f>IF(D96="","-",+C110+1)</f>
        <v>-</v>
      </c>
      <c r="D111" s="691">
        <f t="shared" si="6"/>
        <v>0</v>
      </c>
      <c r="E111" s="746">
        <f t="shared" si="7"/>
        <v>0</v>
      </c>
      <c r="F111" s="746">
        <f t="shared" si="0"/>
        <v>0</v>
      </c>
      <c r="G111" s="691">
        <f t="shared" si="1"/>
        <v>0</v>
      </c>
      <c r="H111" s="740">
        <f>+J97*G111+E111</f>
        <v>0</v>
      </c>
      <c r="I111" s="747">
        <f>+J98*G111+E111</f>
        <v>0</v>
      </c>
      <c r="J111" s="743">
        <f t="shared" si="2"/>
        <v>0</v>
      </c>
      <c r="K111" s="743"/>
      <c r="L111" s="748"/>
      <c r="M111" s="743">
        <f t="shared" si="3"/>
        <v>0</v>
      </c>
      <c r="N111" s="748"/>
      <c r="O111" s="743">
        <f t="shared" si="4"/>
        <v>0</v>
      </c>
      <c r="P111" s="743">
        <f t="shared" si="5"/>
        <v>0</v>
      </c>
      <c r="Q111" s="692"/>
    </row>
    <row r="112" spans="1:17">
      <c r="B112" s="345"/>
      <c r="C112" s="739" t="str">
        <f>IF(D96="","-",+C111+1)</f>
        <v>-</v>
      </c>
      <c r="D112" s="691">
        <f t="shared" si="6"/>
        <v>0</v>
      </c>
      <c r="E112" s="746">
        <f t="shared" si="7"/>
        <v>0</v>
      </c>
      <c r="F112" s="746">
        <f t="shared" si="0"/>
        <v>0</v>
      </c>
      <c r="G112" s="691">
        <f t="shared" si="1"/>
        <v>0</v>
      </c>
      <c r="H112" s="740">
        <f>+J97*G112+E112</f>
        <v>0</v>
      </c>
      <c r="I112" s="747">
        <f>+J98*G112+E112</f>
        <v>0</v>
      </c>
      <c r="J112" s="743">
        <f t="shared" si="2"/>
        <v>0</v>
      </c>
      <c r="K112" s="743"/>
      <c r="L112" s="748"/>
      <c r="M112" s="743">
        <f t="shared" si="3"/>
        <v>0</v>
      </c>
      <c r="N112" s="748"/>
      <c r="O112" s="743">
        <f t="shared" si="4"/>
        <v>0</v>
      </c>
      <c r="P112" s="743">
        <f t="shared" si="5"/>
        <v>0</v>
      </c>
      <c r="Q112" s="692"/>
    </row>
    <row r="113" spans="2:17">
      <c r="B113" s="345"/>
      <c r="C113" s="739" t="str">
        <f>IF(D96="","-",+C112+1)</f>
        <v>-</v>
      </c>
      <c r="D113" s="691">
        <f t="shared" si="6"/>
        <v>0</v>
      </c>
      <c r="E113" s="746">
        <f t="shared" si="7"/>
        <v>0</v>
      </c>
      <c r="F113" s="746">
        <f t="shared" si="0"/>
        <v>0</v>
      </c>
      <c r="G113" s="691">
        <f t="shared" si="1"/>
        <v>0</v>
      </c>
      <c r="H113" s="740">
        <f>+J97*G113+E113</f>
        <v>0</v>
      </c>
      <c r="I113" s="747">
        <f>+J98*G113+E113</f>
        <v>0</v>
      </c>
      <c r="J113" s="743">
        <f t="shared" si="2"/>
        <v>0</v>
      </c>
      <c r="K113" s="743"/>
      <c r="L113" s="748"/>
      <c r="M113" s="743">
        <f t="shared" si="3"/>
        <v>0</v>
      </c>
      <c r="N113" s="748"/>
      <c r="O113" s="743">
        <f t="shared" si="4"/>
        <v>0</v>
      </c>
      <c r="P113" s="743">
        <f t="shared" si="5"/>
        <v>0</v>
      </c>
      <c r="Q113" s="692"/>
    </row>
    <row r="114" spans="2:17">
      <c r="B114" s="345"/>
      <c r="C114" s="739" t="str">
        <f>IF(D96="","-",+C113+1)</f>
        <v>-</v>
      </c>
      <c r="D114" s="691">
        <f t="shared" si="6"/>
        <v>0</v>
      </c>
      <c r="E114" s="746">
        <f t="shared" si="7"/>
        <v>0</v>
      </c>
      <c r="F114" s="746">
        <f t="shared" si="0"/>
        <v>0</v>
      </c>
      <c r="G114" s="691">
        <f t="shared" si="1"/>
        <v>0</v>
      </c>
      <c r="H114" s="740">
        <f>+J97*G114+E114</f>
        <v>0</v>
      </c>
      <c r="I114" s="747">
        <f>+J98*G114+E114</f>
        <v>0</v>
      </c>
      <c r="J114" s="743">
        <f t="shared" si="2"/>
        <v>0</v>
      </c>
      <c r="K114" s="743"/>
      <c r="L114" s="748"/>
      <c r="M114" s="743">
        <f t="shared" si="3"/>
        <v>0</v>
      </c>
      <c r="N114" s="748"/>
      <c r="O114" s="743">
        <f t="shared" si="4"/>
        <v>0</v>
      </c>
      <c r="P114" s="743">
        <f t="shared" si="5"/>
        <v>0</v>
      </c>
      <c r="Q114" s="692"/>
    </row>
    <row r="115" spans="2:17">
      <c r="B115" s="345"/>
      <c r="C115" s="739" t="str">
        <f>IF(D96="","-",+C114+1)</f>
        <v>-</v>
      </c>
      <c r="D115" s="691">
        <f t="shared" si="6"/>
        <v>0</v>
      </c>
      <c r="E115" s="746">
        <f t="shared" si="7"/>
        <v>0</v>
      </c>
      <c r="F115" s="746">
        <f t="shared" si="0"/>
        <v>0</v>
      </c>
      <c r="G115" s="691">
        <f t="shared" si="1"/>
        <v>0</v>
      </c>
      <c r="H115" s="740">
        <f>+J97*G115+E115</f>
        <v>0</v>
      </c>
      <c r="I115" s="747">
        <f>+J98*G115+E115</f>
        <v>0</v>
      </c>
      <c r="J115" s="743">
        <f t="shared" si="2"/>
        <v>0</v>
      </c>
      <c r="K115" s="743"/>
      <c r="L115" s="748"/>
      <c r="M115" s="743">
        <f t="shared" si="3"/>
        <v>0</v>
      </c>
      <c r="N115" s="748"/>
      <c r="O115" s="743">
        <f t="shared" si="4"/>
        <v>0</v>
      </c>
      <c r="P115" s="743">
        <f t="shared" si="5"/>
        <v>0</v>
      </c>
      <c r="Q115" s="692"/>
    </row>
    <row r="116" spans="2:17">
      <c r="B116" s="345"/>
      <c r="C116" s="739" t="str">
        <f>IF(D96="","-",+C115+1)</f>
        <v>-</v>
      </c>
      <c r="D116" s="691">
        <f t="shared" si="6"/>
        <v>0</v>
      </c>
      <c r="E116" s="746">
        <f t="shared" si="7"/>
        <v>0</v>
      </c>
      <c r="F116" s="746">
        <f t="shared" si="0"/>
        <v>0</v>
      </c>
      <c r="G116" s="691">
        <f t="shared" si="1"/>
        <v>0</v>
      </c>
      <c r="H116" s="740">
        <f>+J97*G116+E116</f>
        <v>0</v>
      </c>
      <c r="I116" s="747">
        <f>+J98*G116+E116</f>
        <v>0</v>
      </c>
      <c r="J116" s="743">
        <f t="shared" si="2"/>
        <v>0</v>
      </c>
      <c r="K116" s="743"/>
      <c r="L116" s="748"/>
      <c r="M116" s="743">
        <f t="shared" si="3"/>
        <v>0</v>
      </c>
      <c r="N116" s="748"/>
      <c r="O116" s="743">
        <f t="shared" si="4"/>
        <v>0</v>
      </c>
      <c r="P116" s="743">
        <f t="shared" si="5"/>
        <v>0</v>
      </c>
      <c r="Q116" s="692"/>
    </row>
    <row r="117" spans="2:17">
      <c r="B117" s="345"/>
      <c r="C117" s="739" t="str">
        <f>IF(D96="","-",+C116+1)</f>
        <v>-</v>
      </c>
      <c r="D117" s="691">
        <f t="shared" si="6"/>
        <v>0</v>
      </c>
      <c r="E117" s="746">
        <f t="shared" si="7"/>
        <v>0</v>
      </c>
      <c r="F117" s="746">
        <f t="shared" si="0"/>
        <v>0</v>
      </c>
      <c r="G117" s="691">
        <f t="shared" si="1"/>
        <v>0</v>
      </c>
      <c r="H117" s="740">
        <f>+J97*G117+E117</f>
        <v>0</v>
      </c>
      <c r="I117" s="747">
        <f>+J98*G117+E117</f>
        <v>0</v>
      </c>
      <c r="J117" s="743">
        <f t="shared" si="2"/>
        <v>0</v>
      </c>
      <c r="K117" s="743"/>
      <c r="L117" s="748"/>
      <c r="M117" s="743">
        <f t="shared" si="3"/>
        <v>0</v>
      </c>
      <c r="N117" s="748"/>
      <c r="O117" s="743">
        <f t="shared" si="4"/>
        <v>0</v>
      </c>
      <c r="P117" s="743">
        <f t="shared" si="5"/>
        <v>0</v>
      </c>
      <c r="Q117" s="692"/>
    </row>
    <row r="118" spans="2:17">
      <c r="B118" s="345"/>
      <c r="C118" s="739" t="str">
        <f>IF(D96="","-",+C117+1)</f>
        <v>-</v>
      </c>
      <c r="D118" s="691">
        <f t="shared" si="6"/>
        <v>0</v>
      </c>
      <c r="E118" s="746">
        <f t="shared" si="7"/>
        <v>0</v>
      </c>
      <c r="F118" s="746">
        <f t="shared" si="0"/>
        <v>0</v>
      </c>
      <c r="G118" s="691">
        <f t="shared" si="1"/>
        <v>0</v>
      </c>
      <c r="H118" s="740">
        <f>+J97*G118+E118</f>
        <v>0</v>
      </c>
      <c r="I118" s="747">
        <f>+J98*G118+E118</f>
        <v>0</v>
      </c>
      <c r="J118" s="743">
        <f t="shared" si="2"/>
        <v>0</v>
      </c>
      <c r="K118" s="743"/>
      <c r="L118" s="748"/>
      <c r="M118" s="743">
        <f t="shared" si="3"/>
        <v>0</v>
      </c>
      <c r="N118" s="748"/>
      <c r="O118" s="743">
        <f t="shared" si="4"/>
        <v>0</v>
      </c>
      <c r="P118" s="743">
        <f t="shared" si="5"/>
        <v>0</v>
      </c>
      <c r="Q118" s="692"/>
    </row>
    <row r="119" spans="2:17">
      <c r="B119" s="345"/>
      <c r="C119" s="739" t="str">
        <f>IF(D96="","-",+C118+1)</f>
        <v>-</v>
      </c>
      <c r="D119" s="691">
        <f t="shared" si="6"/>
        <v>0</v>
      </c>
      <c r="E119" s="746">
        <f t="shared" si="7"/>
        <v>0</v>
      </c>
      <c r="F119" s="746">
        <f t="shared" si="0"/>
        <v>0</v>
      </c>
      <c r="G119" s="691">
        <f t="shared" si="1"/>
        <v>0</v>
      </c>
      <c r="H119" s="740">
        <f>+J97*G119+E119</f>
        <v>0</v>
      </c>
      <c r="I119" s="747">
        <f>+J98*G119+E119</f>
        <v>0</v>
      </c>
      <c r="J119" s="743">
        <f t="shared" si="2"/>
        <v>0</v>
      </c>
      <c r="K119" s="743"/>
      <c r="L119" s="748"/>
      <c r="M119" s="743">
        <f t="shared" si="3"/>
        <v>0</v>
      </c>
      <c r="N119" s="748"/>
      <c r="O119" s="743">
        <f t="shared" si="4"/>
        <v>0</v>
      </c>
      <c r="P119" s="743">
        <f t="shared" si="5"/>
        <v>0</v>
      </c>
      <c r="Q119" s="692"/>
    </row>
    <row r="120" spans="2:17">
      <c r="B120" s="345"/>
      <c r="C120" s="739" t="str">
        <f>IF(D96="","-",+C119+1)</f>
        <v>-</v>
      </c>
      <c r="D120" s="691">
        <f t="shared" si="6"/>
        <v>0</v>
      </c>
      <c r="E120" s="746">
        <f t="shared" si="7"/>
        <v>0</v>
      </c>
      <c r="F120" s="746">
        <f t="shared" si="0"/>
        <v>0</v>
      </c>
      <c r="G120" s="691">
        <f t="shared" si="1"/>
        <v>0</v>
      </c>
      <c r="H120" s="740">
        <f>+J97*G120+E120</f>
        <v>0</v>
      </c>
      <c r="I120" s="747">
        <f>+J98*G120+E120</f>
        <v>0</v>
      </c>
      <c r="J120" s="743">
        <f t="shared" si="2"/>
        <v>0</v>
      </c>
      <c r="K120" s="743"/>
      <c r="L120" s="748"/>
      <c r="M120" s="743">
        <f t="shared" si="3"/>
        <v>0</v>
      </c>
      <c r="N120" s="748"/>
      <c r="O120" s="743">
        <f t="shared" si="4"/>
        <v>0</v>
      </c>
      <c r="P120" s="743">
        <f t="shared" si="5"/>
        <v>0</v>
      </c>
      <c r="Q120" s="692"/>
    </row>
    <row r="121" spans="2:17">
      <c r="B121" s="345"/>
      <c r="C121" s="739" t="str">
        <f>IF(D96="","-",+C120+1)</f>
        <v>-</v>
      </c>
      <c r="D121" s="691">
        <f t="shared" si="6"/>
        <v>0</v>
      </c>
      <c r="E121" s="746">
        <f t="shared" si="7"/>
        <v>0</v>
      </c>
      <c r="F121" s="746">
        <f t="shared" si="0"/>
        <v>0</v>
      </c>
      <c r="G121" s="691">
        <f t="shared" si="1"/>
        <v>0</v>
      </c>
      <c r="H121" s="740">
        <f>+J97*G121+E121</f>
        <v>0</v>
      </c>
      <c r="I121" s="747">
        <f>+J98*G121+E121</f>
        <v>0</v>
      </c>
      <c r="J121" s="743">
        <f t="shared" si="2"/>
        <v>0</v>
      </c>
      <c r="K121" s="743"/>
      <c r="L121" s="748"/>
      <c r="M121" s="743">
        <f t="shared" si="3"/>
        <v>0</v>
      </c>
      <c r="N121" s="748"/>
      <c r="O121" s="743">
        <f t="shared" si="4"/>
        <v>0</v>
      </c>
      <c r="P121" s="743">
        <f t="shared" si="5"/>
        <v>0</v>
      </c>
      <c r="Q121" s="692"/>
    </row>
    <row r="122" spans="2:17">
      <c r="B122" s="345"/>
      <c r="C122" s="739" t="str">
        <f>IF(D96="","-",+C121+1)</f>
        <v>-</v>
      </c>
      <c r="D122" s="691">
        <f t="shared" si="6"/>
        <v>0</v>
      </c>
      <c r="E122" s="746">
        <f t="shared" si="7"/>
        <v>0</v>
      </c>
      <c r="F122" s="746">
        <f t="shared" si="0"/>
        <v>0</v>
      </c>
      <c r="G122" s="691">
        <f t="shared" si="1"/>
        <v>0</v>
      </c>
      <c r="H122" s="740">
        <f>+J97*G122+E122</f>
        <v>0</v>
      </c>
      <c r="I122" s="747">
        <f>+J98*G122+E122</f>
        <v>0</v>
      </c>
      <c r="J122" s="743">
        <f t="shared" si="2"/>
        <v>0</v>
      </c>
      <c r="K122" s="743"/>
      <c r="L122" s="748"/>
      <c r="M122" s="743">
        <f t="shared" si="3"/>
        <v>0</v>
      </c>
      <c r="N122" s="748"/>
      <c r="O122" s="743">
        <f t="shared" si="4"/>
        <v>0</v>
      </c>
      <c r="P122" s="743">
        <f t="shared" si="5"/>
        <v>0</v>
      </c>
      <c r="Q122" s="692"/>
    </row>
    <row r="123" spans="2:17">
      <c r="B123" s="345"/>
      <c r="C123" s="739" t="str">
        <f>IF(D96="","-",+C122+1)</f>
        <v>-</v>
      </c>
      <c r="D123" s="691">
        <f t="shared" si="6"/>
        <v>0</v>
      </c>
      <c r="E123" s="746">
        <f t="shared" si="7"/>
        <v>0</v>
      </c>
      <c r="F123" s="746">
        <f t="shared" si="0"/>
        <v>0</v>
      </c>
      <c r="G123" s="691">
        <f t="shared" si="1"/>
        <v>0</v>
      </c>
      <c r="H123" s="740">
        <f>+J97*G123+E123</f>
        <v>0</v>
      </c>
      <c r="I123" s="747">
        <f>+J98*G123+E123</f>
        <v>0</v>
      </c>
      <c r="J123" s="743">
        <f t="shared" si="2"/>
        <v>0</v>
      </c>
      <c r="K123" s="743"/>
      <c r="L123" s="748"/>
      <c r="M123" s="743">
        <f t="shared" si="3"/>
        <v>0</v>
      </c>
      <c r="N123" s="748"/>
      <c r="O123" s="743">
        <f t="shared" si="4"/>
        <v>0</v>
      </c>
      <c r="P123" s="743">
        <f t="shared" si="5"/>
        <v>0</v>
      </c>
      <c r="Q123" s="692"/>
    </row>
    <row r="124" spans="2:17">
      <c r="B124" s="345"/>
      <c r="C124" s="739" t="str">
        <f>IF(D96="","-",+C123+1)</f>
        <v>-</v>
      </c>
      <c r="D124" s="691">
        <f t="shared" si="6"/>
        <v>0</v>
      </c>
      <c r="E124" s="746">
        <f t="shared" si="7"/>
        <v>0</v>
      </c>
      <c r="F124" s="746">
        <f t="shared" si="0"/>
        <v>0</v>
      </c>
      <c r="G124" s="691">
        <f t="shared" si="1"/>
        <v>0</v>
      </c>
      <c r="H124" s="740">
        <f>+J97*G124+E124</f>
        <v>0</v>
      </c>
      <c r="I124" s="747">
        <f>+J98*G124+E124</f>
        <v>0</v>
      </c>
      <c r="J124" s="743">
        <f t="shared" si="2"/>
        <v>0</v>
      </c>
      <c r="K124" s="743"/>
      <c r="L124" s="748"/>
      <c r="M124" s="743">
        <f t="shared" si="3"/>
        <v>0</v>
      </c>
      <c r="N124" s="748"/>
      <c r="O124" s="743">
        <f t="shared" si="4"/>
        <v>0</v>
      </c>
      <c r="P124" s="743">
        <f t="shared" si="5"/>
        <v>0</v>
      </c>
      <c r="Q124" s="692"/>
    </row>
    <row r="125" spans="2:17">
      <c r="B125" s="345"/>
      <c r="C125" s="739" t="str">
        <f>IF(D96="","-",+C124+1)</f>
        <v>-</v>
      </c>
      <c r="D125" s="691">
        <f t="shared" si="6"/>
        <v>0</v>
      </c>
      <c r="E125" s="746">
        <f t="shared" si="7"/>
        <v>0</v>
      </c>
      <c r="F125" s="746">
        <f t="shared" si="0"/>
        <v>0</v>
      </c>
      <c r="G125" s="691">
        <f t="shared" si="1"/>
        <v>0</v>
      </c>
      <c r="H125" s="740">
        <f>+J97*G125+E125</f>
        <v>0</v>
      </c>
      <c r="I125" s="747">
        <f>+J98*G125+E125</f>
        <v>0</v>
      </c>
      <c r="J125" s="743">
        <f t="shared" si="2"/>
        <v>0</v>
      </c>
      <c r="K125" s="743"/>
      <c r="L125" s="748"/>
      <c r="M125" s="743">
        <f t="shared" si="3"/>
        <v>0</v>
      </c>
      <c r="N125" s="748"/>
      <c r="O125" s="743">
        <f t="shared" si="4"/>
        <v>0</v>
      </c>
      <c r="P125" s="743">
        <f t="shared" si="5"/>
        <v>0</v>
      </c>
      <c r="Q125" s="692"/>
    </row>
    <row r="126" spans="2:17">
      <c r="B126" s="345"/>
      <c r="C126" s="739" t="str">
        <f>IF(D96="","-",+C125+1)</f>
        <v>-</v>
      </c>
      <c r="D126" s="691">
        <f t="shared" si="6"/>
        <v>0</v>
      </c>
      <c r="E126" s="746">
        <f t="shared" si="7"/>
        <v>0</v>
      </c>
      <c r="F126" s="746">
        <f t="shared" si="0"/>
        <v>0</v>
      </c>
      <c r="G126" s="691">
        <f t="shared" si="1"/>
        <v>0</v>
      </c>
      <c r="H126" s="740">
        <f>+J97*G126+E126</f>
        <v>0</v>
      </c>
      <c r="I126" s="747">
        <f>+J98*G126+E126</f>
        <v>0</v>
      </c>
      <c r="J126" s="743">
        <f t="shared" si="2"/>
        <v>0</v>
      </c>
      <c r="K126" s="743"/>
      <c r="L126" s="748"/>
      <c r="M126" s="743">
        <f t="shared" si="3"/>
        <v>0</v>
      </c>
      <c r="N126" s="748"/>
      <c r="O126" s="743">
        <f t="shared" si="4"/>
        <v>0</v>
      </c>
      <c r="P126" s="743">
        <f t="shared" si="5"/>
        <v>0</v>
      </c>
      <c r="Q126" s="692"/>
    </row>
    <row r="127" spans="2:17">
      <c r="B127" s="345"/>
      <c r="C127" s="739" t="str">
        <f>IF(D96="","-",+C126+1)</f>
        <v>-</v>
      </c>
      <c r="D127" s="691">
        <f t="shared" si="6"/>
        <v>0</v>
      </c>
      <c r="E127" s="746">
        <f t="shared" si="7"/>
        <v>0</v>
      </c>
      <c r="F127" s="746">
        <f t="shared" si="0"/>
        <v>0</v>
      </c>
      <c r="G127" s="691">
        <f t="shared" si="1"/>
        <v>0</v>
      </c>
      <c r="H127" s="740">
        <f>+J97*G127+E127</f>
        <v>0</v>
      </c>
      <c r="I127" s="747">
        <f>+J98*G127+E127</f>
        <v>0</v>
      </c>
      <c r="J127" s="743">
        <f t="shared" si="2"/>
        <v>0</v>
      </c>
      <c r="K127" s="743"/>
      <c r="L127" s="748"/>
      <c r="M127" s="743">
        <f t="shared" si="3"/>
        <v>0</v>
      </c>
      <c r="N127" s="748"/>
      <c r="O127" s="743">
        <f t="shared" si="4"/>
        <v>0</v>
      </c>
      <c r="P127" s="743">
        <f t="shared" si="5"/>
        <v>0</v>
      </c>
      <c r="Q127" s="692"/>
    </row>
    <row r="128" spans="2:17">
      <c r="B128" s="345"/>
      <c r="C128" s="739" t="str">
        <f>IF(D96="","-",+C127+1)</f>
        <v>-</v>
      </c>
      <c r="D128" s="691">
        <f t="shared" si="6"/>
        <v>0</v>
      </c>
      <c r="E128" s="746">
        <f t="shared" si="7"/>
        <v>0</v>
      </c>
      <c r="F128" s="746">
        <f t="shared" si="0"/>
        <v>0</v>
      </c>
      <c r="G128" s="691">
        <f t="shared" si="1"/>
        <v>0</v>
      </c>
      <c r="H128" s="740">
        <f>+J97*G128+E128</f>
        <v>0</v>
      </c>
      <c r="I128" s="747">
        <f>+J98*G128+E128</f>
        <v>0</v>
      </c>
      <c r="J128" s="743">
        <f t="shared" si="2"/>
        <v>0</v>
      </c>
      <c r="K128" s="743"/>
      <c r="L128" s="748"/>
      <c r="M128" s="743">
        <f t="shared" si="3"/>
        <v>0</v>
      </c>
      <c r="N128" s="748"/>
      <c r="O128" s="743">
        <f t="shared" si="4"/>
        <v>0</v>
      </c>
      <c r="P128" s="743">
        <f t="shared" si="5"/>
        <v>0</v>
      </c>
      <c r="Q128" s="692"/>
    </row>
    <row r="129" spans="2:17">
      <c r="B129" s="345"/>
      <c r="C129" s="739" t="str">
        <f>IF(D96="","-",+C128+1)</f>
        <v>-</v>
      </c>
      <c r="D129" s="691">
        <f t="shared" si="6"/>
        <v>0</v>
      </c>
      <c r="E129" s="746">
        <f t="shared" si="7"/>
        <v>0</v>
      </c>
      <c r="F129" s="746">
        <f t="shared" si="0"/>
        <v>0</v>
      </c>
      <c r="G129" s="691">
        <f t="shared" si="1"/>
        <v>0</v>
      </c>
      <c r="H129" s="740">
        <f>+J97*G129+E129</f>
        <v>0</v>
      </c>
      <c r="I129" s="747">
        <f>+J98*G129+E129</f>
        <v>0</v>
      </c>
      <c r="J129" s="743">
        <f t="shared" si="2"/>
        <v>0</v>
      </c>
      <c r="K129" s="743"/>
      <c r="L129" s="748"/>
      <c r="M129" s="743">
        <f t="shared" si="3"/>
        <v>0</v>
      </c>
      <c r="N129" s="748"/>
      <c r="O129" s="743">
        <f t="shared" si="4"/>
        <v>0</v>
      </c>
      <c r="P129" s="743">
        <f t="shared" si="5"/>
        <v>0</v>
      </c>
      <c r="Q129" s="692"/>
    </row>
    <row r="130" spans="2:17">
      <c r="B130" s="345"/>
      <c r="C130" s="739" t="str">
        <f>IF(D96="","-",+C129+1)</f>
        <v>-</v>
      </c>
      <c r="D130" s="691">
        <f t="shared" si="6"/>
        <v>0</v>
      </c>
      <c r="E130" s="746">
        <f t="shared" si="7"/>
        <v>0</v>
      </c>
      <c r="F130" s="746">
        <f t="shared" si="0"/>
        <v>0</v>
      </c>
      <c r="G130" s="691">
        <f t="shared" si="1"/>
        <v>0</v>
      </c>
      <c r="H130" s="740">
        <f>+J97*G130+E130</f>
        <v>0</v>
      </c>
      <c r="I130" s="747">
        <f>+J98*G130+E130</f>
        <v>0</v>
      </c>
      <c r="J130" s="743">
        <f t="shared" si="2"/>
        <v>0</v>
      </c>
      <c r="K130" s="743"/>
      <c r="L130" s="748"/>
      <c r="M130" s="743">
        <f t="shared" si="3"/>
        <v>0</v>
      </c>
      <c r="N130" s="748"/>
      <c r="O130" s="743">
        <f t="shared" si="4"/>
        <v>0</v>
      </c>
      <c r="P130" s="743">
        <f t="shared" si="5"/>
        <v>0</v>
      </c>
      <c r="Q130" s="692"/>
    </row>
    <row r="131" spans="2:17">
      <c r="B131" s="345"/>
      <c r="C131" s="739" t="str">
        <f>IF(D96="","-",+C130+1)</f>
        <v>-</v>
      </c>
      <c r="D131" s="691">
        <f t="shared" si="6"/>
        <v>0</v>
      </c>
      <c r="E131" s="746">
        <f t="shared" si="7"/>
        <v>0</v>
      </c>
      <c r="F131" s="746">
        <f t="shared" si="0"/>
        <v>0</v>
      </c>
      <c r="G131" s="691">
        <f t="shared" si="1"/>
        <v>0</v>
      </c>
      <c r="H131" s="740">
        <f>+J97*G131+E131</f>
        <v>0</v>
      </c>
      <c r="I131" s="747">
        <f>+J98*G131+E131</f>
        <v>0</v>
      </c>
      <c r="J131" s="743">
        <f t="shared" si="2"/>
        <v>0</v>
      </c>
      <c r="K131" s="743"/>
      <c r="L131" s="748"/>
      <c r="M131" s="743">
        <f t="shared" si="3"/>
        <v>0</v>
      </c>
      <c r="N131" s="748"/>
      <c r="O131" s="743">
        <f t="shared" si="4"/>
        <v>0</v>
      </c>
      <c r="P131" s="743">
        <f t="shared" si="5"/>
        <v>0</v>
      </c>
      <c r="Q131" s="692"/>
    </row>
    <row r="132" spans="2:17">
      <c r="B132" s="345"/>
      <c r="C132" s="739" t="str">
        <f>IF(D96="","-",+C131+1)</f>
        <v>-</v>
      </c>
      <c r="D132" s="691">
        <f t="shared" si="6"/>
        <v>0</v>
      </c>
      <c r="E132" s="746">
        <f t="shared" si="7"/>
        <v>0</v>
      </c>
      <c r="F132" s="746">
        <f t="shared" si="0"/>
        <v>0</v>
      </c>
      <c r="G132" s="691">
        <f t="shared" si="1"/>
        <v>0</v>
      </c>
      <c r="H132" s="740">
        <f>+J97*G132+E132</f>
        <v>0</v>
      </c>
      <c r="I132" s="747">
        <f>+J98*G132+E132</f>
        <v>0</v>
      </c>
      <c r="J132" s="743">
        <f t="shared" si="2"/>
        <v>0</v>
      </c>
      <c r="K132" s="743"/>
      <c r="L132" s="748"/>
      <c r="M132" s="743">
        <f t="shared" si="3"/>
        <v>0</v>
      </c>
      <c r="N132" s="748"/>
      <c r="O132" s="743">
        <f t="shared" si="4"/>
        <v>0</v>
      </c>
      <c r="P132" s="743">
        <f t="shared" si="5"/>
        <v>0</v>
      </c>
      <c r="Q132" s="692"/>
    </row>
    <row r="133" spans="2:17">
      <c r="B133" s="345"/>
      <c r="C133" s="739" t="str">
        <f>IF(D96="","-",+C132+1)</f>
        <v>-</v>
      </c>
      <c r="D133" s="691">
        <f t="shared" si="6"/>
        <v>0</v>
      </c>
      <c r="E133" s="746">
        <f t="shared" si="7"/>
        <v>0</v>
      </c>
      <c r="F133" s="746">
        <f t="shared" si="0"/>
        <v>0</v>
      </c>
      <c r="G133" s="691">
        <f t="shared" si="1"/>
        <v>0</v>
      </c>
      <c r="H133" s="740">
        <f>+J97*G133+E133</f>
        <v>0</v>
      </c>
      <c r="I133" s="747">
        <f>+J98*G133+E133</f>
        <v>0</v>
      </c>
      <c r="J133" s="743">
        <f t="shared" si="2"/>
        <v>0</v>
      </c>
      <c r="K133" s="743"/>
      <c r="L133" s="748"/>
      <c r="M133" s="743">
        <f t="shared" si="3"/>
        <v>0</v>
      </c>
      <c r="N133" s="748"/>
      <c r="O133" s="743">
        <f t="shared" si="4"/>
        <v>0</v>
      </c>
      <c r="P133" s="743">
        <f t="shared" si="5"/>
        <v>0</v>
      </c>
      <c r="Q133" s="692"/>
    </row>
    <row r="134" spans="2:17">
      <c r="B134" s="345"/>
      <c r="C134" s="739" t="str">
        <f>IF(D96="","-",+C133+1)</f>
        <v>-</v>
      </c>
      <c r="D134" s="691">
        <f t="shared" si="6"/>
        <v>0</v>
      </c>
      <c r="E134" s="746">
        <f t="shared" si="7"/>
        <v>0</v>
      </c>
      <c r="F134" s="746">
        <f t="shared" ref="F134:F161" si="8">+D134-E134</f>
        <v>0</v>
      </c>
      <c r="G134" s="691">
        <f t="shared" ref="G134:G161" si="9">+(D134+F134)/2</f>
        <v>0</v>
      </c>
      <c r="H134" s="740">
        <f>+J97*G134+E134</f>
        <v>0</v>
      </c>
      <c r="I134" s="747">
        <f>+J98*G134+E134</f>
        <v>0</v>
      </c>
      <c r="J134" s="743">
        <f t="shared" ref="J134:J161" si="10">+I134-H134</f>
        <v>0</v>
      </c>
      <c r="K134" s="743"/>
      <c r="L134" s="748"/>
      <c r="M134" s="743">
        <f t="shared" ref="M134:M161" si="11">IF(L134&lt;&gt;0,+H134-L134,0)</f>
        <v>0</v>
      </c>
      <c r="N134" s="748"/>
      <c r="O134" s="743">
        <f t="shared" ref="O134:O161" si="12">IF(N134&lt;&gt;0,+I134-N134,0)</f>
        <v>0</v>
      </c>
      <c r="P134" s="743">
        <f t="shared" ref="P134:P161" si="13">+O134-M134</f>
        <v>0</v>
      </c>
      <c r="Q134" s="692"/>
    </row>
    <row r="135" spans="2:17">
      <c r="B135" s="345"/>
      <c r="C135" s="739" t="str">
        <f>IF(D96="","-",+C134+1)</f>
        <v>-</v>
      </c>
      <c r="D135" s="691">
        <f t="shared" ref="D135:D161" si="14">F134</f>
        <v>0</v>
      </c>
      <c r="E135" s="746">
        <f t="shared" ref="E135:E161" si="15">IF(D135&gt;$J$99,$J$99,D135)</f>
        <v>0</v>
      </c>
      <c r="F135" s="746">
        <f t="shared" si="8"/>
        <v>0</v>
      </c>
      <c r="G135" s="691">
        <f t="shared" si="9"/>
        <v>0</v>
      </c>
      <c r="H135" s="740">
        <f>+J97*G135+E135</f>
        <v>0</v>
      </c>
      <c r="I135" s="747">
        <f>+J98*G135+E135</f>
        <v>0</v>
      </c>
      <c r="J135" s="743">
        <f t="shared" si="10"/>
        <v>0</v>
      </c>
      <c r="K135" s="743"/>
      <c r="L135" s="748"/>
      <c r="M135" s="743">
        <f t="shared" si="11"/>
        <v>0</v>
      </c>
      <c r="N135" s="748"/>
      <c r="O135" s="743">
        <f t="shared" si="12"/>
        <v>0</v>
      </c>
      <c r="P135" s="743">
        <f t="shared" si="13"/>
        <v>0</v>
      </c>
      <c r="Q135" s="692"/>
    </row>
    <row r="136" spans="2:17">
      <c r="B136" s="345"/>
      <c r="C136" s="739" t="str">
        <f>IF(D96="","-",+C135+1)</f>
        <v>-</v>
      </c>
      <c r="D136" s="691">
        <f t="shared" si="14"/>
        <v>0</v>
      </c>
      <c r="E136" s="746">
        <f t="shared" si="15"/>
        <v>0</v>
      </c>
      <c r="F136" s="746">
        <f t="shared" si="8"/>
        <v>0</v>
      </c>
      <c r="G136" s="691">
        <f t="shared" si="9"/>
        <v>0</v>
      </c>
      <c r="H136" s="740">
        <f>+J97*G136+E136</f>
        <v>0</v>
      </c>
      <c r="I136" s="747">
        <f>+J98*G136+E136</f>
        <v>0</v>
      </c>
      <c r="J136" s="743">
        <f t="shared" si="10"/>
        <v>0</v>
      </c>
      <c r="K136" s="743"/>
      <c r="L136" s="748"/>
      <c r="M136" s="743">
        <f t="shared" si="11"/>
        <v>0</v>
      </c>
      <c r="N136" s="748"/>
      <c r="O136" s="743">
        <f t="shared" si="12"/>
        <v>0</v>
      </c>
      <c r="P136" s="743">
        <f t="shared" si="13"/>
        <v>0</v>
      </c>
      <c r="Q136" s="692"/>
    </row>
    <row r="137" spans="2:17">
      <c r="B137" s="345"/>
      <c r="C137" s="739" t="str">
        <f>IF(D96="","-",+C136+1)</f>
        <v>-</v>
      </c>
      <c r="D137" s="691">
        <f t="shared" si="14"/>
        <v>0</v>
      </c>
      <c r="E137" s="746">
        <f t="shared" si="15"/>
        <v>0</v>
      </c>
      <c r="F137" s="746">
        <f t="shared" si="8"/>
        <v>0</v>
      </c>
      <c r="G137" s="691">
        <f t="shared" si="9"/>
        <v>0</v>
      </c>
      <c r="H137" s="740">
        <f>+J97*G137+E137</f>
        <v>0</v>
      </c>
      <c r="I137" s="747">
        <f>+J98*G137+E137</f>
        <v>0</v>
      </c>
      <c r="J137" s="743">
        <f t="shared" si="10"/>
        <v>0</v>
      </c>
      <c r="K137" s="743"/>
      <c r="L137" s="748"/>
      <c r="M137" s="743">
        <f t="shared" si="11"/>
        <v>0</v>
      </c>
      <c r="N137" s="748"/>
      <c r="O137" s="743">
        <f t="shared" si="12"/>
        <v>0</v>
      </c>
      <c r="P137" s="743">
        <f t="shared" si="13"/>
        <v>0</v>
      </c>
      <c r="Q137" s="692"/>
    </row>
    <row r="138" spans="2:17">
      <c r="B138" s="345"/>
      <c r="C138" s="739" t="str">
        <f>IF(D96="","-",+C137+1)</f>
        <v>-</v>
      </c>
      <c r="D138" s="691">
        <f t="shared" si="14"/>
        <v>0</v>
      </c>
      <c r="E138" s="746">
        <f t="shared" si="15"/>
        <v>0</v>
      </c>
      <c r="F138" s="746">
        <f t="shared" si="8"/>
        <v>0</v>
      </c>
      <c r="G138" s="691">
        <f t="shared" si="9"/>
        <v>0</v>
      </c>
      <c r="H138" s="740">
        <f>+J97*G138+E138</f>
        <v>0</v>
      </c>
      <c r="I138" s="747">
        <f>+J98*G138+E138</f>
        <v>0</v>
      </c>
      <c r="J138" s="743">
        <f t="shared" si="10"/>
        <v>0</v>
      </c>
      <c r="K138" s="743"/>
      <c r="L138" s="748"/>
      <c r="M138" s="743">
        <f t="shared" si="11"/>
        <v>0</v>
      </c>
      <c r="N138" s="748"/>
      <c r="O138" s="743">
        <f t="shared" si="12"/>
        <v>0</v>
      </c>
      <c r="P138" s="743">
        <f t="shared" si="13"/>
        <v>0</v>
      </c>
      <c r="Q138" s="692"/>
    </row>
    <row r="139" spans="2:17">
      <c r="B139" s="345"/>
      <c r="C139" s="739" t="str">
        <f>IF(D96="","-",+C138+1)</f>
        <v>-</v>
      </c>
      <c r="D139" s="691">
        <f t="shared" si="14"/>
        <v>0</v>
      </c>
      <c r="E139" s="746">
        <f t="shared" si="15"/>
        <v>0</v>
      </c>
      <c r="F139" s="746">
        <f t="shared" si="8"/>
        <v>0</v>
      </c>
      <c r="G139" s="691">
        <f t="shared" si="9"/>
        <v>0</v>
      </c>
      <c r="H139" s="740">
        <f>+J97*G139+E139</f>
        <v>0</v>
      </c>
      <c r="I139" s="747">
        <f>+J98*G139+E139</f>
        <v>0</v>
      </c>
      <c r="J139" s="743">
        <f t="shared" si="10"/>
        <v>0</v>
      </c>
      <c r="K139" s="743"/>
      <c r="L139" s="748"/>
      <c r="M139" s="743">
        <f t="shared" si="11"/>
        <v>0</v>
      </c>
      <c r="N139" s="748"/>
      <c r="O139" s="743">
        <f t="shared" si="12"/>
        <v>0</v>
      </c>
      <c r="P139" s="743">
        <f t="shared" si="13"/>
        <v>0</v>
      </c>
      <c r="Q139" s="692"/>
    </row>
    <row r="140" spans="2:17">
      <c r="B140" s="345"/>
      <c r="C140" s="739" t="str">
        <f>IF(D96="","-",+C139+1)</f>
        <v>-</v>
      </c>
      <c r="D140" s="691">
        <f t="shared" si="14"/>
        <v>0</v>
      </c>
      <c r="E140" s="746">
        <f t="shared" si="15"/>
        <v>0</v>
      </c>
      <c r="F140" s="746">
        <f t="shared" si="8"/>
        <v>0</v>
      </c>
      <c r="G140" s="691">
        <f t="shared" si="9"/>
        <v>0</v>
      </c>
      <c r="H140" s="740">
        <f>+J97*G140+E140</f>
        <v>0</v>
      </c>
      <c r="I140" s="747">
        <f>+J98*G140+E140</f>
        <v>0</v>
      </c>
      <c r="J140" s="743">
        <f t="shared" si="10"/>
        <v>0</v>
      </c>
      <c r="K140" s="743"/>
      <c r="L140" s="748"/>
      <c r="M140" s="743">
        <f t="shared" si="11"/>
        <v>0</v>
      </c>
      <c r="N140" s="748"/>
      <c r="O140" s="743">
        <f t="shared" si="12"/>
        <v>0</v>
      </c>
      <c r="P140" s="743">
        <f t="shared" si="13"/>
        <v>0</v>
      </c>
      <c r="Q140" s="692"/>
    </row>
    <row r="141" spans="2:17">
      <c r="B141" s="345"/>
      <c r="C141" s="739" t="str">
        <f>IF(D96="","-",+C140+1)</f>
        <v>-</v>
      </c>
      <c r="D141" s="691">
        <f t="shared" si="14"/>
        <v>0</v>
      </c>
      <c r="E141" s="746">
        <f t="shared" si="15"/>
        <v>0</v>
      </c>
      <c r="F141" s="746">
        <f t="shared" si="8"/>
        <v>0</v>
      </c>
      <c r="G141" s="691">
        <f t="shared" si="9"/>
        <v>0</v>
      </c>
      <c r="H141" s="740">
        <f>+J97*G141+E141</f>
        <v>0</v>
      </c>
      <c r="I141" s="747">
        <f>+J98*G141+E141</f>
        <v>0</v>
      </c>
      <c r="J141" s="743">
        <f t="shared" si="10"/>
        <v>0</v>
      </c>
      <c r="K141" s="743"/>
      <c r="L141" s="748"/>
      <c r="M141" s="743">
        <f t="shared" si="11"/>
        <v>0</v>
      </c>
      <c r="N141" s="748"/>
      <c r="O141" s="743">
        <f t="shared" si="12"/>
        <v>0</v>
      </c>
      <c r="P141" s="743">
        <f t="shared" si="13"/>
        <v>0</v>
      </c>
      <c r="Q141" s="692"/>
    </row>
    <row r="142" spans="2:17">
      <c r="B142" s="345"/>
      <c r="C142" s="739" t="str">
        <f>IF(D96="","-",+C141+1)</f>
        <v>-</v>
      </c>
      <c r="D142" s="691">
        <f t="shared" si="14"/>
        <v>0</v>
      </c>
      <c r="E142" s="746">
        <f t="shared" si="15"/>
        <v>0</v>
      </c>
      <c r="F142" s="746">
        <f t="shared" si="8"/>
        <v>0</v>
      </c>
      <c r="G142" s="691">
        <f t="shared" si="9"/>
        <v>0</v>
      </c>
      <c r="H142" s="740">
        <f>+J97*G142+E142</f>
        <v>0</v>
      </c>
      <c r="I142" s="747">
        <f>+J98*G142+E142</f>
        <v>0</v>
      </c>
      <c r="J142" s="743">
        <f t="shared" si="10"/>
        <v>0</v>
      </c>
      <c r="K142" s="743"/>
      <c r="L142" s="748"/>
      <c r="M142" s="743">
        <f t="shared" si="11"/>
        <v>0</v>
      </c>
      <c r="N142" s="748"/>
      <c r="O142" s="743">
        <f t="shared" si="12"/>
        <v>0</v>
      </c>
      <c r="P142" s="743">
        <f t="shared" si="13"/>
        <v>0</v>
      </c>
      <c r="Q142" s="692"/>
    </row>
    <row r="143" spans="2:17">
      <c r="B143" s="345"/>
      <c r="C143" s="739" t="str">
        <f>IF(D96="","-",+C142+1)</f>
        <v>-</v>
      </c>
      <c r="D143" s="691">
        <f t="shared" si="14"/>
        <v>0</v>
      </c>
      <c r="E143" s="746">
        <f t="shared" si="15"/>
        <v>0</v>
      </c>
      <c r="F143" s="746">
        <f t="shared" si="8"/>
        <v>0</v>
      </c>
      <c r="G143" s="691">
        <f t="shared" si="9"/>
        <v>0</v>
      </c>
      <c r="H143" s="740">
        <f>+J97*G143+E143</f>
        <v>0</v>
      </c>
      <c r="I143" s="747">
        <f>+J98*G143+E143</f>
        <v>0</v>
      </c>
      <c r="J143" s="743">
        <f t="shared" si="10"/>
        <v>0</v>
      </c>
      <c r="K143" s="743"/>
      <c r="L143" s="748"/>
      <c r="M143" s="743">
        <f t="shared" si="11"/>
        <v>0</v>
      </c>
      <c r="N143" s="748"/>
      <c r="O143" s="743">
        <f t="shared" si="12"/>
        <v>0</v>
      </c>
      <c r="P143" s="743">
        <f t="shared" si="13"/>
        <v>0</v>
      </c>
      <c r="Q143" s="692"/>
    </row>
    <row r="144" spans="2:17">
      <c r="B144" s="345"/>
      <c r="C144" s="739" t="str">
        <f>IF(D96="","-",+C143+1)</f>
        <v>-</v>
      </c>
      <c r="D144" s="691">
        <f t="shared" si="14"/>
        <v>0</v>
      </c>
      <c r="E144" s="746">
        <f t="shared" si="15"/>
        <v>0</v>
      </c>
      <c r="F144" s="746">
        <f t="shared" si="8"/>
        <v>0</v>
      </c>
      <c r="G144" s="691">
        <f t="shared" si="9"/>
        <v>0</v>
      </c>
      <c r="H144" s="740">
        <f>+J97*G144+E144</f>
        <v>0</v>
      </c>
      <c r="I144" s="747">
        <f>+J98*G144+E144</f>
        <v>0</v>
      </c>
      <c r="J144" s="743">
        <f t="shared" si="10"/>
        <v>0</v>
      </c>
      <c r="K144" s="743"/>
      <c r="L144" s="748"/>
      <c r="M144" s="743">
        <f t="shared" si="11"/>
        <v>0</v>
      </c>
      <c r="N144" s="748"/>
      <c r="O144" s="743">
        <f t="shared" si="12"/>
        <v>0</v>
      </c>
      <c r="P144" s="743">
        <f t="shared" si="13"/>
        <v>0</v>
      </c>
      <c r="Q144" s="692"/>
    </row>
    <row r="145" spans="2:17">
      <c r="B145" s="345"/>
      <c r="C145" s="739" t="str">
        <f>IF(D96="","-",+C144+1)</f>
        <v>-</v>
      </c>
      <c r="D145" s="691">
        <f t="shared" si="14"/>
        <v>0</v>
      </c>
      <c r="E145" s="746">
        <f t="shared" si="15"/>
        <v>0</v>
      </c>
      <c r="F145" s="746">
        <f t="shared" si="8"/>
        <v>0</v>
      </c>
      <c r="G145" s="691">
        <f t="shared" si="9"/>
        <v>0</v>
      </c>
      <c r="H145" s="740">
        <f>+J97*G145+E145</f>
        <v>0</v>
      </c>
      <c r="I145" s="747">
        <f>+J98*G145+E145</f>
        <v>0</v>
      </c>
      <c r="J145" s="743">
        <f t="shared" si="10"/>
        <v>0</v>
      </c>
      <c r="K145" s="743"/>
      <c r="L145" s="748"/>
      <c r="M145" s="743">
        <f t="shared" si="11"/>
        <v>0</v>
      </c>
      <c r="N145" s="748"/>
      <c r="O145" s="743">
        <f t="shared" si="12"/>
        <v>0</v>
      </c>
      <c r="P145" s="743">
        <f t="shared" si="13"/>
        <v>0</v>
      </c>
      <c r="Q145" s="692"/>
    </row>
    <row r="146" spans="2:17">
      <c r="B146" s="345"/>
      <c r="C146" s="739" t="str">
        <f>IF(D96="","-",+C145+1)</f>
        <v>-</v>
      </c>
      <c r="D146" s="691">
        <f t="shared" si="14"/>
        <v>0</v>
      </c>
      <c r="E146" s="746">
        <f t="shared" si="15"/>
        <v>0</v>
      </c>
      <c r="F146" s="746">
        <f t="shared" si="8"/>
        <v>0</v>
      </c>
      <c r="G146" s="691">
        <f t="shared" si="9"/>
        <v>0</v>
      </c>
      <c r="H146" s="740">
        <f>+J97*G146+E146</f>
        <v>0</v>
      </c>
      <c r="I146" s="747">
        <f>+J98*G146+E146</f>
        <v>0</v>
      </c>
      <c r="J146" s="743">
        <f t="shared" si="10"/>
        <v>0</v>
      </c>
      <c r="K146" s="743"/>
      <c r="L146" s="748"/>
      <c r="M146" s="743">
        <f t="shared" si="11"/>
        <v>0</v>
      </c>
      <c r="N146" s="748"/>
      <c r="O146" s="743">
        <f t="shared" si="12"/>
        <v>0</v>
      </c>
      <c r="P146" s="743">
        <f t="shared" si="13"/>
        <v>0</v>
      </c>
      <c r="Q146" s="692"/>
    </row>
    <row r="147" spans="2:17">
      <c r="B147" s="345"/>
      <c r="C147" s="739" t="str">
        <f>IF(D96="","-",+C146+1)</f>
        <v>-</v>
      </c>
      <c r="D147" s="691">
        <f t="shared" si="14"/>
        <v>0</v>
      </c>
      <c r="E147" s="746">
        <f t="shared" si="15"/>
        <v>0</v>
      </c>
      <c r="F147" s="746">
        <f t="shared" si="8"/>
        <v>0</v>
      </c>
      <c r="G147" s="691">
        <f t="shared" si="9"/>
        <v>0</v>
      </c>
      <c r="H147" s="740">
        <f>+J97*G147+E147</f>
        <v>0</v>
      </c>
      <c r="I147" s="747">
        <f>+J98*G147+E147</f>
        <v>0</v>
      </c>
      <c r="J147" s="743">
        <f t="shared" si="10"/>
        <v>0</v>
      </c>
      <c r="K147" s="743"/>
      <c r="L147" s="748"/>
      <c r="M147" s="743">
        <f t="shared" si="11"/>
        <v>0</v>
      </c>
      <c r="N147" s="748"/>
      <c r="O147" s="743">
        <f t="shared" si="12"/>
        <v>0</v>
      </c>
      <c r="P147" s="743">
        <f t="shared" si="13"/>
        <v>0</v>
      </c>
      <c r="Q147" s="692"/>
    </row>
    <row r="148" spans="2:17">
      <c r="B148" s="345"/>
      <c r="C148" s="739" t="str">
        <f>IF(D96="","-",+C147+1)</f>
        <v>-</v>
      </c>
      <c r="D148" s="691">
        <f t="shared" si="14"/>
        <v>0</v>
      </c>
      <c r="E148" s="746">
        <f t="shared" si="15"/>
        <v>0</v>
      </c>
      <c r="F148" s="746">
        <f t="shared" si="8"/>
        <v>0</v>
      </c>
      <c r="G148" s="691">
        <f t="shared" si="9"/>
        <v>0</v>
      </c>
      <c r="H148" s="740">
        <f>+J97*G148+E148</f>
        <v>0</v>
      </c>
      <c r="I148" s="747">
        <f>+J98*G148+E148</f>
        <v>0</v>
      </c>
      <c r="J148" s="743">
        <f t="shared" si="10"/>
        <v>0</v>
      </c>
      <c r="K148" s="743"/>
      <c r="L148" s="748"/>
      <c r="M148" s="743">
        <f t="shared" si="11"/>
        <v>0</v>
      </c>
      <c r="N148" s="748"/>
      <c r="O148" s="743">
        <f t="shared" si="12"/>
        <v>0</v>
      </c>
      <c r="P148" s="743">
        <f t="shared" si="13"/>
        <v>0</v>
      </c>
      <c r="Q148" s="692"/>
    </row>
    <row r="149" spans="2:17">
      <c r="B149" s="345"/>
      <c r="C149" s="739" t="str">
        <f>IF(D96="","-",+C148+1)</f>
        <v>-</v>
      </c>
      <c r="D149" s="691">
        <f t="shared" si="14"/>
        <v>0</v>
      </c>
      <c r="E149" s="746">
        <f t="shared" si="15"/>
        <v>0</v>
      </c>
      <c r="F149" s="746">
        <f t="shared" si="8"/>
        <v>0</v>
      </c>
      <c r="G149" s="691">
        <f t="shared" si="9"/>
        <v>0</v>
      </c>
      <c r="H149" s="740">
        <f>+J97*G149+E149</f>
        <v>0</v>
      </c>
      <c r="I149" s="747">
        <f>+J98*G149+E149</f>
        <v>0</v>
      </c>
      <c r="J149" s="743">
        <f t="shared" si="10"/>
        <v>0</v>
      </c>
      <c r="K149" s="743"/>
      <c r="L149" s="748"/>
      <c r="M149" s="743">
        <f t="shared" si="11"/>
        <v>0</v>
      </c>
      <c r="N149" s="748"/>
      <c r="O149" s="743">
        <f t="shared" si="12"/>
        <v>0</v>
      </c>
      <c r="P149" s="743">
        <f t="shared" si="13"/>
        <v>0</v>
      </c>
      <c r="Q149" s="692"/>
    </row>
    <row r="150" spans="2:17">
      <c r="B150" s="345"/>
      <c r="C150" s="739" t="str">
        <f>IF(D96="","-",+C149+1)</f>
        <v>-</v>
      </c>
      <c r="D150" s="691">
        <f t="shared" si="14"/>
        <v>0</v>
      </c>
      <c r="E150" s="746">
        <f t="shared" si="15"/>
        <v>0</v>
      </c>
      <c r="F150" s="746">
        <f t="shared" si="8"/>
        <v>0</v>
      </c>
      <c r="G150" s="691">
        <f t="shared" si="9"/>
        <v>0</v>
      </c>
      <c r="H150" s="740">
        <f>+J97*G150+E150</f>
        <v>0</v>
      </c>
      <c r="I150" s="747">
        <f>+J98*G150+E150</f>
        <v>0</v>
      </c>
      <c r="J150" s="743">
        <f t="shared" si="10"/>
        <v>0</v>
      </c>
      <c r="K150" s="743"/>
      <c r="L150" s="748"/>
      <c r="M150" s="743">
        <f t="shared" si="11"/>
        <v>0</v>
      </c>
      <c r="N150" s="748"/>
      <c r="O150" s="743">
        <f t="shared" si="12"/>
        <v>0</v>
      </c>
      <c r="P150" s="743">
        <f t="shared" si="13"/>
        <v>0</v>
      </c>
      <c r="Q150" s="692"/>
    </row>
    <row r="151" spans="2:17">
      <c r="B151" s="345"/>
      <c r="C151" s="739" t="str">
        <f>IF(D96="","-",+C150+1)</f>
        <v>-</v>
      </c>
      <c r="D151" s="691">
        <f t="shared" si="14"/>
        <v>0</v>
      </c>
      <c r="E151" s="746">
        <f t="shared" si="15"/>
        <v>0</v>
      </c>
      <c r="F151" s="746">
        <f t="shared" si="8"/>
        <v>0</v>
      </c>
      <c r="G151" s="691">
        <f t="shared" si="9"/>
        <v>0</v>
      </c>
      <c r="H151" s="740">
        <f>+J97*G151+E151</f>
        <v>0</v>
      </c>
      <c r="I151" s="747">
        <f>+J98*G151+E151</f>
        <v>0</v>
      </c>
      <c r="J151" s="743">
        <f t="shared" si="10"/>
        <v>0</v>
      </c>
      <c r="K151" s="743"/>
      <c r="L151" s="748"/>
      <c r="M151" s="743">
        <f t="shared" si="11"/>
        <v>0</v>
      </c>
      <c r="N151" s="748"/>
      <c r="O151" s="743">
        <f t="shared" si="12"/>
        <v>0</v>
      </c>
      <c r="P151" s="743">
        <f t="shared" si="13"/>
        <v>0</v>
      </c>
      <c r="Q151" s="692"/>
    </row>
    <row r="152" spans="2:17">
      <c r="B152" s="345"/>
      <c r="C152" s="739" t="str">
        <f>IF(D96="","-",+C151+1)</f>
        <v>-</v>
      </c>
      <c r="D152" s="691">
        <f t="shared" si="14"/>
        <v>0</v>
      </c>
      <c r="E152" s="746">
        <f t="shared" si="15"/>
        <v>0</v>
      </c>
      <c r="F152" s="746">
        <f t="shared" si="8"/>
        <v>0</v>
      </c>
      <c r="G152" s="691">
        <f t="shared" si="9"/>
        <v>0</v>
      </c>
      <c r="H152" s="740">
        <f>+J97*G152+E152</f>
        <v>0</v>
      </c>
      <c r="I152" s="747">
        <f>+J98*G152+E152</f>
        <v>0</v>
      </c>
      <c r="J152" s="743">
        <f t="shared" si="10"/>
        <v>0</v>
      </c>
      <c r="K152" s="743"/>
      <c r="L152" s="748"/>
      <c r="M152" s="743">
        <f t="shared" si="11"/>
        <v>0</v>
      </c>
      <c r="N152" s="748"/>
      <c r="O152" s="743">
        <f t="shared" si="12"/>
        <v>0</v>
      </c>
      <c r="P152" s="743">
        <f t="shared" si="13"/>
        <v>0</v>
      </c>
      <c r="Q152" s="692"/>
    </row>
    <row r="153" spans="2:17">
      <c r="B153" s="345"/>
      <c r="C153" s="739" t="str">
        <f>IF(D96="","-",+C152+1)</f>
        <v>-</v>
      </c>
      <c r="D153" s="691">
        <f t="shared" si="14"/>
        <v>0</v>
      </c>
      <c r="E153" s="746">
        <f t="shared" si="15"/>
        <v>0</v>
      </c>
      <c r="F153" s="746">
        <f t="shared" si="8"/>
        <v>0</v>
      </c>
      <c r="G153" s="691">
        <f t="shared" si="9"/>
        <v>0</v>
      </c>
      <c r="H153" s="740">
        <f>+J97*G153+E153</f>
        <v>0</v>
      </c>
      <c r="I153" s="747">
        <f>+J98*G153+E153</f>
        <v>0</v>
      </c>
      <c r="J153" s="743">
        <f t="shared" si="10"/>
        <v>0</v>
      </c>
      <c r="K153" s="743"/>
      <c r="L153" s="748"/>
      <c r="M153" s="743">
        <f t="shared" si="11"/>
        <v>0</v>
      </c>
      <c r="N153" s="748"/>
      <c r="O153" s="743">
        <f t="shared" si="12"/>
        <v>0</v>
      </c>
      <c r="P153" s="743">
        <f t="shared" si="13"/>
        <v>0</v>
      </c>
      <c r="Q153" s="692"/>
    </row>
    <row r="154" spans="2:17">
      <c r="B154" s="345"/>
      <c r="C154" s="739" t="str">
        <f>IF(D96="","-",+C153+1)</f>
        <v>-</v>
      </c>
      <c r="D154" s="691">
        <f t="shared" si="14"/>
        <v>0</v>
      </c>
      <c r="E154" s="746">
        <f t="shared" si="15"/>
        <v>0</v>
      </c>
      <c r="F154" s="746">
        <f t="shared" si="8"/>
        <v>0</v>
      </c>
      <c r="G154" s="691">
        <f t="shared" si="9"/>
        <v>0</v>
      </c>
      <c r="H154" s="740">
        <f>+J97*G154+E154</f>
        <v>0</v>
      </c>
      <c r="I154" s="747">
        <f>+J98*G154+E154</f>
        <v>0</v>
      </c>
      <c r="J154" s="743">
        <f t="shared" si="10"/>
        <v>0</v>
      </c>
      <c r="K154" s="743"/>
      <c r="L154" s="748"/>
      <c r="M154" s="743">
        <f t="shared" si="11"/>
        <v>0</v>
      </c>
      <c r="N154" s="748"/>
      <c r="O154" s="743">
        <f t="shared" si="12"/>
        <v>0</v>
      </c>
      <c r="P154" s="743">
        <f t="shared" si="13"/>
        <v>0</v>
      </c>
      <c r="Q154" s="692"/>
    </row>
    <row r="155" spans="2:17">
      <c r="B155" s="345"/>
      <c r="C155" s="739" t="str">
        <f>IF(D96="","-",+C154+1)</f>
        <v>-</v>
      </c>
      <c r="D155" s="691">
        <f t="shared" si="14"/>
        <v>0</v>
      </c>
      <c r="E155" s="746">
        <f t="shared" si="15"/>
        <v>0</v>
      </c>
      <c r="F155" s="746">
        <f t="shared" si="8"/>
        <v>0</v>
      </c>
      <c r="G155" s="691">
        <f t="shared" si="9"/>
        <v>0</v>
      </c>
      <c r="H155" s="740">
        <f>+J97*G155+E155</f>
        <v>0</v>
      </c>
      <c r="I155" s="747">
        <f>+J98*G155+E155</f>
        <v>0</v>
      </c>
      <c r="J155" s="743">
        <f t="shared" si="10"/>
        <v>0</v>
      </c>
      <c r="K155" s="743"/>
      <c r="L155" s="748"/>
      <c r="M155" s="743">
        <f t="shared" si="11"/>
        <v>0</v>
      </c>
      <c r="N155" s="748"/>
      <c r="O155" s="743">
        <f t="shared" si="12"/>
        <v>0</v>
      </c>
      <c r="P155" s="743">
        <f t="shared" si="13"/>
        <v>0</v>
      </c>
      <c r="Q155" s="692"/>
    </row>
    <row r="156" spans="2:17">
      <c r="B156" s="345"/>
      <c r="C156" s="739" t="str">
        <f>IF(D96="","-",+C155+1)</f>
        <v>-</v>
      </c>
      <c r="D156" s="691">
        <f t="shared" si="14"/>
        <v>0</v>
      </c>
      <c r="E156" s="746">
        <f t="shared" si="15"/>
        <v>0</v>
      </c>
      <c r="F156" s="746">
        <f t="shared" si="8"/>
        <v>0</v>
      </c>
      <c r="G156" s="691">
        <f t="shared" si="9"/>
        <v>0</v>
      </c>
      <c r="H156" s="740">
        <f>+J97*G156+E156</f>
        <v>0</v>
      </c>
      <c r="I156" s="747">
        <f>+J98*G156+E156</f>
        <v>0</v>
      </c>
      <c r="J156" s="743">
        <f t="shared" si="10"/>
        <v>0</v>
      </c>
      <c r="K156" s="743"/>
      <c r="L156" s="748"/>
      <c r="M156" s="743">
        <f t="shared" si="11"/>
        <v>0</v>
      </c>
      <c r="N156" s="748"/>
      <c r="O156" s="743">
        <f t="shared" si="12"/>
        <v>0</v>
      </c>
      <c r="P156" s="743">
        <f t="shared" si="13"/>
        <v>0</v>
      </c>
      <c r="Q156" s="692"/>
    </row>
    <row r="157" spans="2:17">
      <c r="B157" s="345"/>
      <c r="C157" s="739" t="str">
        <f>IF(D96="","-",+C156+1)</f>
        <v>-</v>
      </c>
      <c r="D157" s="691">
        <f t="shared" si="14"/>
        <v>0</v>
      </c>
      <c r="E157" s="746">
        <f t="shared" si="15"/>
        <v>0</v>
      </c>
      <c r="F157" s="746">
        <f t="shared" si="8"/>
        <v>0</v>
      </c>
      <c r="G157" s="691">
        <f t="shared" si="9"/>
        <v>0</v>
      </c>
      <c r="H157" s="740">
        <f>+J97*G157+E157</f>
        <v>0</v>
      </c>
      <c r="I157" s="747">
        <f>+J98*G157+E157</f>
        <v>0</v>
      </c>
      <c r="J157" s="743">
        <f t="shared" si="10"/>
        <v>0</v>
      </c>
      <c r="K157" s="743"/>
      <c r="L157" s="748"/>
      <c r="M157" s="743">
        <f t="shared" si="11"/>
        <v>0</v>
      </c>
      <c r="N157" s="748"/>
      <c r="O157" s="743">
        <f t="shared" si="12"/>
        <v>0</v>
      </c>
      <c r="P157" s="743">
        <f t="shared" si="13"/>
        <v>0</v>
      </c>
      <c r="Q157" s="692"/>
    </row>
    <row r="158" spans="2:17">
      <c r="B158" s="345"/>
      <c r="C158" s="739" t="str">
        <f>IF(D96="","-",+C157+1)</f>
        <v>-</v>
      </c>
      <c r="D158" s="691">
        <f t="shared" si="14"/>
        <v>0</v>
      </c>
      <c r="E158" s="746">
        <f t="shared" si="15"/>
        <v>0</v>
      </c>
      <c r="F158" s="746">
        <f t="shared" si="8"/>
        <v>0</v>
      </c>
      <c r="G158" s="691">
        <f t="shared" si="9"/>
        <v>0</v>
      </c>
      <c r="H158" s="740">
        <f>+J97*G158+E158</f>
        <v>0</v>
      </c>
      <c r="I158" s="747">
        <f>+J98*G158+E158</f>
        <v>0</v>
      </c>
      <c r="J158" s="743">
        <f t="shared" si="10"/>
        <v>0</v>
      </c>
      <c r="K158" s="743"/>
      <c r="L158" s="748"/>
      <c r="M158" s="743">
        <f t="shared" si="11"/>
        <v>0</v>
      </c>
      <c r="N158" s="748"/>
      <c r="O158" s="743">
        <f t="shared" si="12"/>
        <v>0</v>
      </c>
      <c r="P158" s="743">
        <f t="shared" si="13"/>
        <v>0</v>
      </c>
      <c r="Q158" s="692"/>
    </row>
    <row r="159" spans="2:17">
      <c r="B159" s="345"/>
      <c r="C159" s="739" t="str">
        <f>IF(D96="","-",+C158+1)</f>
        <v>-</v>
      </c>
      <c r="D159" s="691">
        <f t="shared" si="14"/>
        <v>0</v>
      </c>
      <c r="E159" s="746">
        <f t="shared" si="15"/>
        <v>0</v>
      </c>
      <c r="F159" s="746">
        <f t="shared" si="8"/>
        <v>0</v>
      </c>
      <c r="G159" s="691">
        <f t="shared" si="9"/>
        <v>0</v>
      </c>
      <c r="H159" s="740">
        <f>+J97*G159+E159</f>
        <v>0</v>
      </c>
      <c r="I159" s="747">
        <f>+J98*G159+E159</f>
        <v>0</v>
      </c>
      <c r="J159" s="743">
        <f t="shared" si="10"/>
        <v>0</v>
      </c>
      <c r="K159" s="743"/>
      <c r="L159" s="748"/>
      <c r="M159" s="743">
        <f t="shared" si="11"/>
        <v>0</v>
      </c>
      <c r="N159" s="748"/>
      <c r="O159" s="743">
        <f t="shared" si="12"/>
        <v>0</v>
      </c>
      <c r="P159" s="743">
        <f t="shared" si="13"/>
        <v>0</v>
      </c>
      <c r="Q159" s="692"/>
    </row>
    <row r="160" spans="2:17">
      <c r="B160" s="345"/>
      <c r="C160" s="739" t="str">
        <f>IF(D96="","-",+C159+1)</f>
        <v>-</v>
      </c>
      <c r="D160" s="691">
        <f t="shared" si="14"/>
        <v>0</v>
      </c>
      <c r="E160" s="746">
        <f t="shared" si="15"/>
        <v>0</v>
      </c>
      <c r="F160" s="746">
        <f t="shared" si="8"/>
        <v>0</v>
      </c>
      <c r="G160" s="691">
        <f t="shared" si="9"/>
        <v>0</v>
      </c>
      <c r="H160" s="740">
        <f>+J97*G160+E160</f>
        <v>0</v>
      </c>
      <c r="I160" s="747">
        <f>+J98*G160+E160</f>
        <v>0</v>
      </c>
      <c r="J160" s="743">
        <f t="shared" si="10"/>
        <v>0</v>
      </c>
      <c r="K160" s="743"/>
      <c r="L160" s="748"/>
      <c r="M160" s="743">
        <f t="shared" si="11"/>
        <v>0</v>
      </c>
      <c r="N160" s="748"/>
      <c r="O160" s="743">
        <f t="shared" si="12"/>
        <v>0</v>
      </c>
      <c r="P160" s="743">
        <f t="shared" si="13"/>
        <v>0</v>
      </c>
      <c r="Q160" s="692"/>
    </row>
    <row r="161" spans="2:17" ht="13.5" thickBot="1">
      <c r="B161" s="345"/>
      <c r="C161" s="750" t="str">
        <f>IF(D96="","-",+C160+1)</f>
        <v>-</v>
      </c>
      <c r="D161" s="751">
        <f t="shared" si="14"/>
        <v>0</v>
      </c>
      <c r="E161" s="752">
        <f t="shared" si="15"/>
        <v>0</v>
      </c>
      <c r="F161" s="752">
        <f t="shared" si="8"/>
        <v>0</v>
      </c>
      <c r="G161" s="751">
        <f t="shared" si="9"/>
        <v>0</v>
      </c>
      <c r="H161" s="753">
        <f>+J97*G161+E161</f>
        <v>0</v>
      </c>
      <c r="I161" s="753">
        <f>+J98*G161+E161</f>
        <v>0</v>
      </c>
      <c r="J161" s="754">
        <f t="shared" si="10"/>
        <v>0</v>
      </c>
      <c r="K161" s="743"/>
      <c r="L161" s="755"/>
      <c r="M161" s="754">
        <f t="shared" si="11"/>
        <v>0</v>
      </c>
      <c r="N161" s="755"/>
      <c r="O161" s="754">
        <f t="shared" si="12"/>
        <v>0</v>
      </c>
      <c r="P161" s="754">
        <f t="shared" si="13"/>
        <v>0</v>
      </c>
      <c r="Q161" s="692"/>
    </row>
    <row r="162" spans="2:17">
      <c r="B162" s="345"/>
      <c r="C162" s="691" t="s">
        <v>289</v>
      </c>
      <c r="D162" s="687"/>
      <c r="E162" s="687">
        <f>SUM(E102:E161)</f>
        <v>0</v>
      </c>
      <c r="F162" s="687"/>
      <c r="G162" s="687"/>
      <c r="H162" s="687">
        <f>SUM(H102:H161)</f>
        <v>0</v>
      </c>
      <c r="I162" s="687">
        <f>SUM(I102:I161)</f>
        <v>0</v>
      </c>
      <c r="J162" s="687">
        <f>SUM(J102:J161)</f>
        <v>0</v>
      </c>
      <c r="K162" s="687"/>
      <c r="L162" s="687"/>
      <c r="M162" s="687"/>
      <c r="N162" s="687"/>
      <c r="O162" s="687"/>
      <c r="Q162" s="687"/>
    </row>
    <row r="163" spans="2:17">
      <c r="B163" s="345"/>
      <c r="D163" s="581"/>
      <c r="E163" s="558"/>
      <c r="F163" s="558"/>
      <c r="G163" s="558"/>
      <c r="H163" s="558"/>
      <c r="I163" s="664"/>
      <c r="J163" s="664"/>
      <c r="K163" s="687"/>
      <c r="L163" s="664"/>
      <c r="M163" s="664"/>
      <c r="N163" s="664"/>
      <c r="O163" s="664"/>
      <c r="Q163" s="687"/>
    </row>
    <row r="164" spans="2:17">
      <c r="B164" s="345"/>
      <c r="C164" s="558" t="s">
        <v>597</v>
      </c>
      <c r="D164" s="581"/>
      <c r="E164" s="558"/>
      <c r="F164" s="558"/>
      <c r="G164" s="558"/>
      <c r="H164" s="558"/>
      <c r="I164" s="664"/>
      <c r="J164" s="664"/>
      <c r="K164" s="687"/>
      <c r="L164" s="664"/>
      <c r="M164" s="664"/>
      <c r="N164" s="664"/>
      <c r="O164" s="664"/>
      <c r="Q164" s="687"/>
    </row>
    <row r="165" spans="2:17">
      <c r="B165" s="345"/>
      <c r="D165" s="581"/>
      <c r="E165" s="558"/>
      <c r="F165" s="558"/>
      <c r="G165" s="558"/>
      <c r="H165" s="558"/>
      <c r="I165" s="664"/>
      <c r="J165" s="664"/>
      <c r="K165" s="687"/>
      <c r="L165" s="664"/>
      <c r="M165" s="664"/>
      <c r="N165" s="664"/>
      <c r="O165" s="664"/>
      <c r="Q165" s="687"/>
    </row>
    <row r="166" spans="2:17">
      <c r="B166" s="345"/>
      <c r="C166" s="594" t="s">
        <v>598</v>
      </c>
      <c r="D166" s="691"/>
      <c r="E166" s="691"/>
      <c r="F166" s="691"/>
      <c r="G166" s="691"/>
      <c r="H166" s="687"/>
      <c r="I166" s="687"/>
      <c r="J166" s="692"/>
      <c r="K166" s="692"/>
      <c r="L166" s="692"/>
      <c r="M166" s="692"/>
      <c r="N166" s="692"/>
      <c r="O166" s="692"/>
      <c r="Q166" s="692"/>
    </row>
    <row r="167" spans="2:17">
      <c r="B167" s="345"/>
      <c r="C167" s="594" t="s">
        <v>477</v>
      </c>
      <c r="D167" s="691"/>
      <c r="E167" s="691"/>
      <c r="F167" s="691"/>
      <c r="G167" s="691"/>
      <c r="H167" s="687"/>
      <c r="I167" s="687"/>
      <c r="J167" s="692"/>
      <c r="K167" s="692"/>
      <c r="L167" s="692"/>
      <c r="M167" s="692"/>
      <c r="N167" s="692"/>
      <c r="O167" s="692"/>
      <c r="Q167" s="692"/>
    </row>
    <row r="168" spans="2:17">
      <c r="B168" s="345"/>
      <c r="C168" s="594" t="s">
        <v>290</v>
      </c>
      <c r="D168" s="691"/>
      <c r="E168" s="691"/>
      <c r="F168" s="691"/>
      <c r="G168" s="691"/>
      <c r="H168" s="687"/>
      <c r="I168" s="687"/>
      <c r="J168" s="692"/>
      <c r="K168" s="692"/>
      <c r="L168" s="692"/>
      <c r="M168" s="692"/>
      <c r="N168" s="692"/>
      <c r="O168" s="692"/>
      <c r="Q168" s="692"/>
    </row>
    <row r="169" spans="2:17">
      <c r="B169" s="345"/>
      <c r="Q169" s="345"/>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D47"/>
  <sheetViews>
    <sheetView zoomScaleNormal="100" zoomScaleSheetLayoutView="100" workbookViewId="0">
      <selection activeCell="A3" sqref="A3"/>
    </sheetView>
  </sheetViews>
  <sheetFormatPr defaultRowHeight="12.75"/>
  <cols>
    <col min="1" max="1" width="9.140625" style="32"/>
    <col min="2" max="2" width="37.5703125" style="192" customWidth="1"/>
    <col min="3" max="3" width="31.5703125" style="189" customWidth="1"/>
    <col min="4" max="4" width="14.85546875" style="189" customWidth="1"/>
    <col min="5" max="5" width="18" style="189" customWidth="1"/>
    <col min="6" max="7" width="11.140625" style="189" bestFit="1" customWidth="1"/>
    <col min="8" max="8" width="11.140625" style="270" bestFit="1" customWidth="1"/>
    <col min="9" max="16384" width="9.140625" style="189"/>
  </cols>
  <sheetData>
    <row r="1" spans="1:30" ht="15.75">
      <c r="A1" s="886" t="s">
        <v>115</v>
      </c>
    </row>
    <row r="2" spans="1:30" ht="15.75">
      <c r="A2" s="886" t="s">
        <v>115</v>
      </c>
    </row>
    <row r="3" spans="1:30" ht="15">
      <c r="B3" s="1547" t="s">
        <v>388</v>
      </c>
      <c r="C3" s="1547"/>
      <c r="D3" s="1547"/>
      <c r="E3" s="1547"/>
      <c r="F3" s="1547"/>
      <c r="G3" s="40"/>
      <c r="H3" s="266"/>
      <c r="I3" s="40"/>
      <c r="J3" s="40"/>
      <c r="K3" s="40"/>
      <c r="L3" s="40"/>
      <c r="M3" s="40"/>
      <c r="N3" s="40"/>
      <c r="O3" s="40"/>
      <c r="P3" s="40"/>
    </row>
    <row r="4" spans="1:30" ht="15">
      <c r="B4" s="1548" t="str">
        <f>"Cost of Service Formula Rate Using "&amp;TCOS!L4&amp;" FF1 Balances"</f>
        <v>Cost of Service Formula Rate Using 2025 FF1 Balances</v>
      </c>
      <c r="C4" s="1548"/>
      <c r="D4" s="1548"/>
      <c r="E4" s="1548"/>
      <c r="F4" s="1548"/>
      <c r="G4" s="96"/>
      <c r="H4" s="267"/>
      <c r="I4" s="96"/>
      <c r="J4" s="96"/>
      <c r="K4" s="96"/>
      <c r="L4" s="96"/>
      <c r="M4" s="96"/>
      <c r="N4" s="96"/>
      <c r="O4" s="96"/>
      <c r="P4" s="96"/>
    </row>
    <row r="5" spans="1:30" ht="18">
      <c r="B5" s="1547" t="s">
        <v>549</v>
      </c>
      <c r="C5" s="1547"/>
      <c r="D5" s="1547"/>
      <c r="E5" s="1547"/>
      <c r="F5" s="1547"/>
      <c r="G5" s="158"/>
      <c r="H5" s="268"/>
      <c r="I5" s="158"/>
      <c r="J5" s="158"/>
      <c r="K5" s="158"/>
    </row>
    <row r="6" spans="1:30" ht="18">
      <c r="B6" s="1559" t="str">
        <f>+TCOS!F9</f>
        <v xml:space="preserve">Indiana Michigan Power Company </v>
      </c>
      <c r="C6" s="1547"/>
      <c r="D6" s="1547"/>
      <c r="E6" s="1547"/>
      <c r="F6" s="1547"/>
      <c r="G6" s="169"/>
      <c r="H6" s="269"/>
      <c r="I6" s="169"/>
      <c r="J6" s="169"/>
      <c r="K6" s="169"/>
    </row>
    <row r="8" spans="1:30" ht="18.75" customHeight="1">
      <c r="B8" s="19"/>
      <c r="C8" s="147"/>
      <c r="D8" s="191"/>
    </row>
    <row r="10" spans="1:30" ht="18">
      <c r="B10" s="8"/>
      <c r="C10" s="8"/>
      <c r="D10" s="8"/>
      <c r="E10" s="8"/>
      <c r="F10" s="8"/>
      <c r="R10" s="157"/>
      <c r="S10" s="157"/>
      <c r="T10" s="157"/>
      <c r="U10" s="157"/>
      <c r="V10" s="157"/>
      <c r="W10" s="157"/>
      <c r="X10" s="157"/>
      <c r="Y10" s="157"/>
      <c r="Z10" s="157"/>
      <c r="AA10" s="157"/>
      <c r="AB10" s="203"/>
      <c r="AC10" s="203"/>
      <c r="AD10" s="203"/>
    </row>
    <row r="11" spans="1:30">
      <c r="A11" s="875"/>
      <c r="B11" s="190"/>
      <c r="C11" s="191"/>
    </row>
    <row r="12" spans="1:30">
      <c r="A12" s="246"/>
      <c r="B12" s="12"/>
      <c r="C12" s="12"/>
      <c r="D12" s="12"/>
      <c r="E12" s="12"/>
      <c r="F12" s="12"/>
      <c r="G12" s="11"/>
    </row>
    <row r="13" spans="1:30">
      <c r="A13" s="248"/>
      <c r="B13" s="12"/>
      <c r="C13" s="12"/>
      <c r="D13" s="12"/>
      <c r="E13" s="12"/>
      <c r="F13" s="12"/>
      <c r="G13" s="11"/>
    </row>
    <row r="14" spans="1:30">
      <c r="A14" s="288"/>
      <c r="B14" s="12"/>
      <c r="C14" s="12"/>
      <c r="D14" s="12"/>
      <c r="E14" s="12"/>
      <c r="F14" s="12"/>
      <c r="H14" s="189"/>
    </row>
    <row r="15" spans="1:30">
      <c r="A15" s="288"/>
      <c r="B15" s="12"/>
      <c r="C15" s="12"/>
      <c r="D15" s="12"/>
      <c r="E15" s="12"/>
      <c r="F15" s="12"/>
      <c r="H15" s="189"/>
    </row>
    <row r="16" spans="1:30">
      <c r="A16" s="288"/>
      <c r="B16" s="12"/>
      <c r="C16" s="12"/>
      <c r="D16" s="12"/>
      <c r="E16" s="12"/>
      <c r="F16" s="12"/>
      <c r="H16" s="189"/>
    </row>
    <row r="17" spans="1:8" ht="12.75" customHeight="1">
      <c r="A17" s="288"/>
      <c r="B17" s="12"/>
      <c r="C17" s="12"/>
      <c r="D17" s="12"/>
      <c r="E17" s="12"/>
      <c r="F17" s="12"/>
      <c r="H17" s="189"/>
    </row>
    <row r="18" spans="1:8">
      <c r="A18" s="288"/>
      <c r="B18" s="12"/>
      <c r="C18" s="12"/>
      <c r="D18" s="12"/>
      <c r="E18" s="12"/>
      <c r="F18" s="12"/>
      <c r="H18" s="189"/>
    </row>
    <row r="19" spans="1:8">
      <c r="A19" s="288"/>
      <c r="B19" s="12"/>
      <c r="C19" s="12"/>
      <c r="D19" s="12"/>
      <c r="E19" s="12"/>
      <c r="F19" s="12"/>
      <c r="H19" s="189"/>
    </row>
    <row r="20" spans="1:8">
      <c r="A20" s="288"/>
      <c r="B20" s="12"/>
      <c r="C20" s="12"/>
      <c r="D20" s="12"/>
      <c r="E20" s="12"/>
      <c r="F20" s="12"/>
      <c r="H20" s="189"/>
    </row>
    <row r="21" spans="1:8">
      <c r="A21" s="288"/>
      <c r="B21" s="12"/>
      <c r="C21" s="12"/>
      <c r="D21" s="12"/>
      <c r="E21" s="12"/>
      <c r="F21" s="12"/>
      <c r="H21" s="189"/>
    </row>
    <row r="22" spans="1:8">
      <c r="A22" s="288"/>
      <c r="B22" s="12"/>
      <c r="C22" s="12"/>
      <c r="D22" s="12"/>
      <c r="E22" s="12"/>
      <c r="F22" s="12"/>
      <c r="H22" s="189"/>
    </row>
    <row r="23" spans="1:8" ht="12.75" customHeight="1">
      <c r="A23" s="288"/>
      <c r="B23" s="12"/>
      <c r="C23" s="12"/>
      <c r="D23" s="12"/>
      <c r="E23" s="12"/>
      <c r="F23" s="12"/>
      <c r="H23" s="189"/>
    </row>
    <row r="24" spans="1:8" ht="12.75" customHeight="1">
      <c r="A24" s="288"/>
      <c r="B24" s="12"/>
      <c r="C24" s="12"/>
      <c r="D24" s="12"/>
      <c r="E24" s="12"/>
      <c r="F24" s="12"/>
      <c r="H24" s="189"/>
    </row>
    <row r="25" spans="1:8" ht="12.75" customHeight="1">
      <c r="A25" s="288"/>
      <c r="B25" s="12"/>
      <c r="C25" s="12"/>
      <c r="D25" s="12"/>
      <c r="E25" s="12"/>
      <c r="F25" s="12"/>
      <c r="H25" s="189"/>
    </row>
    <row r="26" spans="1:8" ht="12.75" customHeight="1">
      <c r="A26" s="288"/>
      <c r="B26" s="12"/>
      <c r="C26" s="12"/>
      <c r="D26" s="12"/>
      <c r="E26" s="12"/>
      <c r="F26" s="12"/>
      <c r="H26" s="189"/>
    </row>
    <row r="27" spans="1:8" ht="12.75" customHeight="1">
      <c r="A27" s="288"/>
      <c r="B27" s="12"/>
      <c r="C27" s="12"/>
      <c r="D27" s="12"/>
      <c r="E27" s="12"/>
      <c r="F27" s="12"/>
      <c r="H27" s="189"/>
    </row>
    <row r="28" spans="1:8" ht="12.75" customHeight="1">
      <c r="A28" s="288"/>
      <c r="B28" s="12"/>
      <c r="C28" s="12"/>
      <c r="D28" s="12"/>
      <c r="E28" s="12"/>
      <c r="F28" s="12"/>
      <c r="H28" s="189"/>
    </row>
    <row r="29" spans="1:8" ht="12.75" customHeight="1">
      <c r="A29" s="288"/>
      <c r="B29" s="12"/>
      <c r="C29" s="12"/>
      <c r="D29" s="12"/>
      <c r="E29" s="12"/>
      <c r="F29" s="12"/>
      <c r="H29" s="189"/>
    </row>
    <row r="30" spans="1:8" ht="12.75" customHeight="1">
      <c r="A30" s="288"/>
      <c r="B30" s="12"/>
      <c r="C30" s="12"/>
      <c r="D30" s="12"/>
      <c r="E30" s="12"/>
      <c r="F30" s="12"/>
      <c r="H30" s="189"/>
    </row>
    <row r="31" spans="1:8" ht="12.75" customHeight="1">
      <c r="A31" s="288"/>
      <c r="B31" s="12"/>
      <c r="C31" s="12"/>
      <c r="D31" s="12"/>
      <c r="E31" s="12"/>
      <c r="F31" s="12"/>
      <c r="H31" s="189"/>
    </row>
    <row r="32" spans="1:8" ht="12.75" customHeight="1">
      <c r="A32" s="288"/>
      <c r="B32" s="12"/>
      <c r="C32" s="12"/>
      <c r="D32" s="12"/>
      <c r="E32" s="12"/>
      <c r="F32" s="12"/>
      <c r="H32" s="189"/>
    </row>
    <row r="33" spans="1:8" ht="12.75" customHeight="1">
      <c r="A33" s="288"/>
      <c r="B33" s="12"/>
      <c r="C33" s="12"/>
      <c r="D33" s="12"/>
      <c r="E33" s="12"/>
      <c r="F33" s="12"/>
      <c r="H33" s="189"/>
    </row>
    <row r="34" spans="1:8" ht="12.75" customHeight="1">
      <c r="A34" s="288"/>
      <c r="B34" s="12"/>
      <c r="C34" s="12"/>
      <c r="D34" s="12"/>
      <c r="E34" s="12"/>
      <c r="F34" s="12"/>
      <c r="H34" s="189"/>
    </row>
    <row r="35" spans="1:8" ht="12.75" customHeight="1">
      <c r="A35" s="288"/>
      <c r="B35" s="12"/>
      <c r="C35" s="12"/>
      <c r="D35" s="12"/>
      <c r="E35" s="12"/>
      <c r="F35" s="12"/>
      <c r="H35" s="189"/>
    </row>
    <row r="36" spans="1:8" ht="12.75" customHeight="1">
      <c r="A36" s="288"/>
      <c r="B36" s="12"/>
      <c r="C36" s="12"/>
      <c r="D36" s="12"/>
      <c r="E36" s="12"/>
      <c r="F36" s="12"/>
      <c r="H36" s="189"/>
    </row>
    <row r="37" spans="1:8" ht="12.75" customHeight="1">
      <c r="A37" s="288"/>
      <c r="B37" s="12"/>
      <c r="C37" s="12"/>
      <c r="D37" s="12"/>
      <c r="E37" s="12"/>
      <c r="F37" s="12"/>
      <c r="H37" s="189"/>
    </row>
    <row r="38" spans="1:8" ht="12.75" customHeight="1">
      <c r="A38" s="288"/>
      <c r="B38" s="12"/>
      <c r="C38" s="12"/>
      <c r="D38" s="12"/>
      <c r="E38" s="12"/>
      <c r="F38" s="12"/>
      <c r="H38" s="189"/>
    </row>
    <row r="39" spans="1:8" ht="12.75" customHeight="1">
      <c r="A39" s="288"/>
      <c r="B39" s="12"/>
      <c r="C39" s="12"/>
      <c r="D39" s="12"/>
      <c r="E39" s="12"/>
      <c r="F39" s="12"/>
      <c r="H39" s="189"/>
    </row>
    <row r="40" spans="1:8" ht="12.75" customHeight="1">
      <c r="A40" s="288"/>
      <c r="B40" s="12"/>
      <c r="C40" s="12"/>
      <c r="D40" s="12"/>
      <c r="E40" s="12"/>
      <c r="F40" s="12"/>
      <c r="H40" s="189"/>
    </row>
    <row r="41" spans="1:8" ht="12.75" customHeight="1">
      <c r="A41" s="288"/>
      <c r="B41" s="12"/>
      <c r="C41" s="12"/>
      <c r="D41" s="12"/>
      <c r="E41" s="12"/>
      <c r="F41" s="12"/>
      <c r="H41" s="189"/>
    </row>
    <row r="42" spans="1:8" ht="12.75" customHeight="1">
      <c r="A42" s="288"/>
      <c r="B42" s="12"/>
      <c r="C42" s="12"/>
      <c r="D42" s="12"/>
      <c r="E42" s="12"/>
      <c r="F42" s="12"/>
      <c r="H42" s="189"/>
    </row>
    <row r="43" spans="1:8" ht="12.6" customHeight="1">
      <c r="A43" s="288"/>
      <c r="B43" s="12"/>
      <c r="C43" s="12"/>
      <c r="D43" s="12"/>
      <c r="E43" s="12"/>
      <c r="F43" s="12"/>
      <c r="H43" s="189"/>
    </row>
    <row r="44" spans="1:8" ht="12.75" customHeight="1">
      <c r="A44" s="288"/>
      <c r="B44" s="12"/>
      <c r="C44" s="12"/>
      <c r="D44" s="12"/>
      <c r="E44" s="12"/>
      <c r="F44" s="12"/>
      <c r="H44" s="189"/>
    </row>
    <row r="45" spans="1:8">
      <c r="B45" s="12"/>
      <c r="C45" s="12"/>
      <c r="D45" s="12"/>
      <c r="E45" s="12"/>
      <c r="F45" s="12"/>
      <c r="H45" s="189"/>
    </row>
    <row r="46" spans="1:8">
      <c r="B46" s="12"/>
      <c r="C46" s="12"/>
      <c r="D46" s="12"/>
      <c r="E46" s="12"/>
      <c r="F46" s="12"/>
      <c r="H46" s="189"/>
    </row>
    <row r="47" spans="1:8">
      <c r="B47" s="12"/>
      <c r="C47" s="12"/>
      <c r="D47" s="12"/>
      <c r="E47" s="12"/>
      <c r="F47" s="12"/>
      <c r="H47" s="189"/>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6"/>
  <sheetViews>
    <sheetView topLeftCell="A6" zoomScaleNormal="100" zoomScaleSheetLayoutView="70" zoomScalePageLayoutView="50" workbookViewId="0">
      <selection activeCell="C10" sqref="C10"/>
    </sheetView>
  </sheetViews>
  <sheetFormatPr defaultColWidth="11.42578125" defaultRowHeight="12.75"/>
  <cols>
    <col min="1" max="1" width="10.28515625" style="890" customWidth="1"/>
    <col min="2" max="2" width="64.5703125" style="244" customWidth="1"/>
    <col min="3" max="3" width="26.7109375" style="244" bestFit="1" customWidth="1"/>
    <col min="4" max="11" width="20.28515625" style="244" customWidth="1"/>
    <col min="12" max="12" width="20" style="244" customWidth="1"/>
    <col min="13" max="14" width="15.140625" style="244" customWidth="1"/>
    <col min="15" max="16384" width="11.42578125" style="244"/>
  </cols>
  <sheetData>
    <row r="1" spans="1:12" ht="15">
      <c r="A1" s="1547" t="s">
        <v>388</v>
      </c>
      <c r="B1" s="1547"/>
      <c r="C1" s="1547"/>
      <c r="D1" s="1547"/>
      <c r="E1" s="1547"/>
      <c r="F1" s="1547"/>
      <c r="G1" s="1547"/>
      <c r="H1" s="894"/>
      <c r="I1" s="894"/>
    </row>
    <row r="2" spans="1:12" ht="15">
      <c r="A2" s="1548" t="str">
        <f>"Cost of Service Formula Rate Using Actual/Projected FF1 Balances"</f>
        <v>Cost of Service Formula Rate Using Actual/Projected FF1 Balances</v>
      </c>
      <c r="B2" s="1548"/>
      <c r="C2" s="1548"/>
      <c r="D2" s="1548"/>
      <c r="E2" s="1548"/>
      <c r="F2" s="1548"/>
      <c r="G2" s="1548"/>
      <c r="H2" s="894"/>
      <c r="I2" s="894"/>
      <c r="J2" s="894"/>
      <c r="L2" s="935"/>
    </row>
    <row r="3" spans="1:12" ht="15">
      <c r="A3" s="1548" t="s">
        <v>651</v>
      </c>
      <c r="B3" s="1548"/>
      <c r="C3" s="1548"/>
      <c r="D3" s="1548"/>
      <c r="E3" s="1548"/>
      <c r="F3" s="1548"/>
      <c r="G3" s="1548"/>
      <c r="H3" s="894"/>
      <c r="I3" s="894"/>
      <c r="J3" s="894"/>
    </row>
    <row r="4" spans="1:12" ht="15">
      <c r="A4" s="1555" t="str">
        <f>TCOS!F9</f>
        <v xml:space="preserve">Indiana Michigan Power Company </v>
      </c>
      <c r="B4" s="1555"/>
      <c r="C4" s="1555"/>
      <c r="D4" s="1555"/>
      <c r="E4" s="1555"/>
      <c r="F4" s="1555"/>
      <c r="G4" s="1555"/>
      <c r="H4" s="894"/>
      <c r="I4" s="894"/>
      <c r="J4" s="894"/>
    </row>
    <row r="5" spans="1:12">
      <c r="A5" s="894"/>
      <c r="B5" s="931"/>
      <c r="C5" s="931"/>
      <c r="D5" s="931"/>
      <c r="E5" s="934"/>
      <c r="F5" s="933"/>
      <c r="H5" s="933"/>
      <c r="J5" s="933"/>
      <c r="L5" s="933"/>
    </row>
    <row r="6" spans="1:12" ht="12.75" customHeight="1">
      <c r="A6" s="894"/>
      <c r="B6" s="931"/>
      <c r="C6" s="1549" t="s">
        <v>650</v>
      </c>
      <c r="D6" s="1550"/>
      <c r="E6" s="1550"/>
      <c r="F6" s="1550"/>
      <c r="G6" s="1550"/>
      <c r="H6" s="1550"/>
      <c r="I6" s="1550"/>
      <c r="J6" s="1550"/>
      <c r="K6" s="1551"/>
      <c r="L6" s="6"/>
    </row>
    <row r="7" spans="1:12" s="928" customFormat="1" ht="25.5">
      <c r="A7" s="930" t="s">
        <v>640</v>
      </c>
      <c r="B7" s="929" t="s">
        <v>639</v>
      </c>
      <c r="C7" s="909" t="s">
        <v>230</v>
      </c>
      <c r="D7" s="909" t="s">
        <v>648</v>
      </c>
      <c r="E7" s="909" t="s">
        <v>116</v>
      </c>
      <c r="F7" s="909" t="s">
        <v>647</v>
      </c>
      <c r="G7" s="909" t="s">
        <v>439</v>
      </c>
      <c r="H7" s="909" t="s">
        <v>646</v>
      </c>
      <c r="I7" s="909" t="s">
        <v>335</v>
      </c>
      <c r="J7" s="909" t="s">
        <v>645</v>
      </c>
      <c r="K7" s="908" t="s">
        <v>644</v>
      </c>
      <c r="L7" s="6"/>
    </row>
    <row r="8" spans="1:12" s="901" customFormat="1">
      <c r="A8" s="900"/>
      <c r="B8" s="906" t="s">
        <v>634</v>
      </c>
      <c r="C8" s="905" t="s">
        <v>633</v>
      </c>
      <c r="D8" s="905" t="s">
        <v>632</v>
      </c>
      <c r="E8" s="905" t="s">
        <v>631</v>
      </c>
      <c r="F8" s="905" t="s">
        <v>630</v>
      </c>
      <c r="G8" s="905" t="s">
        <v>652</v>
      </c>
      <c r="H8" s="905" t="s">
        <v>653</v>
      </c>
      <c r="I8" s="905" t="s">
        <v>643</v>
      </c>
      <c r="J8" s="905" t="s">
        <v>642</v>
      </c>
      <c r="K8" s="927" t="s">
        <v>641</v>
      </c>
      <c r="L8" s="6"/>
    </row>
    <row r="9" spans="1:12" s="901" customFormat="1" ht="44.25" customHeight="1">
      <c r="A9" s="900"/>
      <c r="B9" s="906" t="s">
        <v>629</v>
      </c>
      <c r="C9" s="926" t="s">
        <v>443</v>
      </c>
      <c r="D9" s="926" t="s">
        <v>448</v>
      </c>
      <c r="E9" s="926" t="s">
        <v>444</v>
      </c>
      <c r="F9" s="926" t="s">
        <v>654</v>
      </c>
      <c r="G9" s="926" t="s">
        <v>445</v>
      </c>
      <c r="H9" s="926" t="s">
        <v>446</v>
      </c>
      <c r="I9" s="926" t="s">
        <v>655</v>
      </c>
      <c r="J9" s="926" t="s">
        <v>656</v>
      </c>
      <c r="K9" s="925" t="s">
        <v>447</v>
      </c>
      <c r="L9" s="6"/>
    </row>
    <row r="10" spans="1:12">
      <c r="A10" s="900">
        <v>1</v>
      </c>
      <c r="B10" s="924" t="s">
        <v>627</v>
      </c>
      <c r="C10" s="898">
        <v>5630606466.9597816</v>
      </c>
      <c r="D10" s="898">
        <v>522567088.79999989</v>
      </c>
      <c r="E10" s="898">
        <v>1964548110.0222299</v>
      </c>
      <c r="F10" s="898"/>
      <c r="G10" s="898">
        <v>3613261674.5372901</v>
      </c>
      <c r="H10" s="898">
        <v>0</v>
      </c>
      <c r="I10" s="898">
        <v>292879996.13438737</v>
      </c>
      <c r="J10" s="898">
        <v>1306979.4472684399</v>
      </c>
      <c r="K10" s="1348">
        <v>366283935.83396602</v>
      </c>
      <c r="L10" s="6"/>
    </row>
    <row r="11" spans="1:12">
      <c r="A11" s="900">
        <f>+A10+1</f>
        <v>2</v>
      </c>
      <c r="B11" s="924" t="s">
        <v>186</v>
      </c>
      <c r="C11" s="898">
        <v>5628784565.5492001</v>
      </c>
      <c r="D11" s="898">
        <v>522567088.79999989</v>
      </c>
      <c r="E11" s="898">
        <v>1970388588.2211998</v>
      </c>
      <c r="F11" s="898"/>
      <c r="G11" s="898">
        <v>3631691621.8801098</v>
      </c>
      <c r="H11" s="898">
        <v>0</v>
      </c>
      <c r="I11" s="898">
        <v>297765184.72595131</v>
      </c>
      <c r="J11" s="898">
        <v>1306704.27661034</v>
      </c>
      <c r="K11" s="897">
        <v>371079043.80218804</v>
      </c>
      <c r="L11" s="6"/>
    </row>
    <row r="12" spans="1:12">
      <c r="A12" s="900">
        <f t="shared" ref="A12:A23" si="0">+A11+1</f>
        <v>3</v>
      </c>
      <c r="B12" s="923" t="s">
        <v>561</v>
      </c>
      <c r="C12" s="898">
        <v>5627599023.3781214</v>
      </c>
      <c r="D12" s="898">
        <v>522567088.79999989</v>
      </c>
      <c r="E12" s="898">
        <v>1971433866.47019</v>
      </c>
      <c r="F12" s="898"/>
      <c r="G12" s="898">
        <v>3651380329.17384</v>
      </c>
      <c r="H12" s="898">
        <v>0</v>
      </c>
      <c r="I12" s="898">
        <v>302660505.32917446</v>
      </c>
      <c r="J12" s="898">
        <v>1306429.1638865001</v>
      </c>
      <c r="K12" s="897">
        <v>375562633.23737502</v>
      </c>
      <c r="L12" s="6"/>
    </row>
    <row r="13" spans="1:12">
      <c r="A13" s="900">
        <f t="shared" si="0"/>
        <v>4</v>
      </c>
      <c r="B13" s="923" t="s">
        <v>626</v>
      </c>
      <c r="C13" s="898">
        <v>5627456559.7873001</v>
      </c>
      <c r="D13" s="898">
        <v>522567088.79999989</v>
      </c>
      <c r="E13" s="898">
        <v>1973597622.3722599</v>
      </c>
      <c r="F13" s="898"/>
      <c r="G13" s="898">
        <v>3666557442.1321096</v>
      </c>
      <c r="H13" s="898">
        <v>0</v>
      </c>
      <c r="I13" s="898">
        <v>307421518.47637373</v>
      </c>
      <c r="J13" s="898">
        <v>1306154.10908473</v>
      </c>
      <c r="K13" s="897">
        <v>371365796.56132299</v>
      </c>
      <c r="L13" s="6"/>
    </row>
    <row r="14" spans="1:12">
      <c r="A14" s="900">
        <f t="shared" si="0"/>
        <v>5</v>
      </c>
      <c r="B14" s="923" t="s">
        <v>188</v>
      </c>
      <c r="C14" s="898">
        <v>5637033211.0815239</v>
      </c>
      <c r="D14" s="898">
        <v>522567088.79999989</v>
      </c>
      <c r="E14" s="898">
        <v>1976026758.2384</v>
      </c>
      <c r="F14" s="898"/>
      <c r="G14" s="898">
        <v>3685449794.81143</v>
      </c>
      <c r="H14" s="898">
        <v>0</v>
      </c>
      <c r="I14" s="898">
        <v>309007339.00281984</v>
      </c>
      <c r="J14" s="898">
        <v>1305879.1121928201</v>
      </c>
      <c r="K14" s="897">
        <v>374927585.539635</v>
      </c>
      <c r="L14" s="6"/>
    </row>
    <row r="15" spans="1:12">
      <c r="A15" s="900">
        <f t="shared" si="0"/>
        <v>6</v>
      </c>
      <c r="B15" s="923" t="s">
        <v>189</v>
      </c>
      <c r="C15" s="898">
        <v>5645205660.3957891</v>
      </c>
      <c r="D15" s="898">
        <v>522567088.79999989</v>
      </c>
      <c r="E15" s="898">
        <v>1981154961.7331598</v>
      </c>
      <c r="F15" s="898"/>
      <c r="G15" s="898">
        <v>3705255066.12919</v>
      </c>
      <c r="H15" s="898">
        <v>0</v>
      </c>
      <c r="I15" s="898">
        <v>310585480.7270546</v>
      </c>
      <c r="J15" s="898">
        <v>1305604.1731985998</v>
      </c>
      <c r="K15" s="897">
        <v>378486433.61467499</v>
      </c>
      <c r="L15" s="6"/>
    </row>
    <row r="16" spans="1:12">
      <c r="A16" s="900">
        <f t="shared" si="0"/>
        <v>7</v>
      </c>
      <c r="B16" s="923" t="s">
        <v>383</v>
      </c>
      <c r="C16" s="898">
        <v>5649035458.3697786</v>
      </c>
      <c r="D16" s="898">
        <v>522567088.79999989</v>
      </c>
      <c r="E16" s="898">
        <v>1990491029.7501099</v>
      </c>
      <c r="F16" s="898"/>
      <c r="G16" s="898">
        <v>3725657762.2963099</v>
      </c>
      <c r="H16" s="898">
        <v>0</v>
      </c>
      <c r="I16" s="898">
        <v>312177334.89937991</v>
      </c>
      <c r="J16" s="898">
        <v>1305329.29208986</v>
      </c>
      <c r="K16" s="897">
        <v>361377523.60102904</v>
      </c>
      <c r="L16" s="6"/>
    </row>
    <row r="17" spans="1:12">
      <c r="A17" s="900">
        <f t="shared" si="0"/>
        <v>8</v>
      </c>
      <c r="B17" s="923" t="s">
        <v>190</v>
      </c>
      <c r="C17" s="898">
        <v>5650758940.6847963</v>
      </c>
      <c r="D17" s="898">
        <v>522567088.79999989</v>
      </c>
      <c r="E17" s="898">
        <v>1996601354.2948699</v>
      </c>
      <c r="F17" s="898"/>
      <c r="G17" s="898">
        <v>3743904972.2953401</v>
      </c>
      <c r="H17" s="898">
        <v>0</v>
      </c>
      <c r="I17" s="898">
        <v>313782395.29277545</v>
      </c>
      <c r="J17" s="898">
        <v>1305054.4688544301</v>
      </c>
      <c r="K17" s="897">
        <v>364992476.076446</v>
      </c>
      <c r="L17" s="6"/>
    </row>
    <row r="18" spans="1:12">
      <c r="A18" s="900">
        <f t="shared" si="0"/>
        <v>9</v>
      </c>
      <c r="B18" s="923" t="s">
        <v>625</v>
      </c>
      <c r="C18" s="898">
        <v>5652566713.6163359</v>
      </c>
      <c r="D18" s="898">
        <v>522567088.79999989</v>
      </c>
      <c r="E18" s="898">
        <v>2000648753.711</v>
      </c>
      <c r="F18" s="898"/>
      <c r="G18" s="898">
        <v>3762515161.12291</v>
      </c>
      <c r="H18" s="898">
        <v>0</v>
      </c>
      <c r="I18" s="898">
        <v>315399658.4596051</v>
      </c>
      <c r="J18" s="898">
        <v>1304779.7034801098</v>
      </c>
      <c r="K18" s="897">
        <v>369983982.19940001</v>
      </c>
      <c r="L18" s="6"/>
    </row>
    <row r="19" spans="1:12">
      <c r="A19" s="900">
        <f t="shared" si="0"/>
        <v>10</v>
      </c>
      <c r="B19" s="923" t="s">
        <v>193</v>
      </c>
      <c r="C19" s="898">
        <v>5654651192.5266466</v>
      </c>
      <c r="D19" s="898">
        <v>522567088.79999989</v>
      </c>
      <c r="E19" s="898">
        <v>2018996302.70785</v>
      </c>
      <c r="F19" s="898"/>
      <c r="G19" s="898">
        <v>3781502532.1584001</v>
      </c>
      <c r="H19" s="898">
        <v>0</v>
      </c>
      <c r="I19" s="898">
        <v>317024427.36050576</v>
      </c>
      <c r="J19" s="898">
        <v>1304504.9959547301</v>
      </c>
      <c r="K19" s="897">
        <v>367179580.01331896</v>
      </c>
      <c r="L19" s="6"/>
    </row>
    <row r="20" spans="1:12">
      <c r="A20" s="900">
        <f t="shared" si="0"/>
        <v>11</v>
      </c>
      <c r="B20" s="923" t="s">
        <v>562</v>
      </c>
      <c r="C20" s="898">
        <v>5674791523.3462124</v>
      </c>
      <c r="D20" s="898">
        <v>522567088.79999989</v>
      </c>
      <c r="E20" s="898">
        <v>2025545103.6862199</v>
      </c>
      <c r="F20" s="898"/>
      <c r="G20" s="898">
        <v>3810114702.5729198</v>
      </c>
      <c r="H20" s="898">
        <v>0</v>
      </c>
      <c r="I20" s="898">
        <v>318691686.32528204</v>
      </c>
      <c r="J20" s="898">
        <v>1304230.3462661</v>
      </c>
      <c r="K20" s="897">
        <v>372040454.60269499</v>
      </c>
      <c r="L20" s="6"/>
    </row>
    <row r="21" spans="1:12">
      <c r="A21" s="900">
        <f t="shared" si="0"/>
        <v>12</v>
      </c>
      <c r="B21" s="923" t="s">
        <v>563</v>
      </c>
      <c r="C21" s="898">
        <v>5685534144.9341383</v>
      </c>
      <c r="D21" s="898">
        <v>522567088.79999989</v>
      </c>
      <c r="E21" s="898">
        <v>2027234119.0033</v>
      </c>
      <c r="F21" s="898"/>
      <c r="G21" s="898">
        <v>3829254707.0597801</v>
      </c>
      <c r="H21" s="898">
        <v>0</v>
      </c>
      <c r="I21" s="898">
        <v>320440353.11412704</v>
      </c>
      <c r="J21" s="898">
        <v>1303955.7544020498</v>
      </c>
      <c r="K21" s="897">
        <v>375664932.15157902</v>
      </c>
      <c r="L21" s="6"/>
    </row>
    <row r="22" spans="1:12">
      <c r="A22" s="899">
        <f t="shared" si="0"/>
        <v>13</v>
      </c>
      <c r="B22" s="922" t="s">
        <v>624</v>
      </c>
      <c r="C22" s="898">
        <v>5689064597.5437393</v>
      </c>
      <c r="D22" s="898">
        <v>522567088.79999989</v>
      </c>
      <c r="E22" s="898">
        <v>2029292031.25068</v>
      </c>
      <c r="F22" s="898"/>
      <c r="G22" s="898">
        <v>3863240949.7467899</v>
      </c>
      <c r="H22" s="898">
        <v>0</v>
      </c>
      <c r="I22" s="898">
        <v>322561760.82357138</v>
      </c>
      <c r="J22" s="898">
        <v>1303681.2203504001</v>
      </c>
      <c r="K22" s="897">
        <v>367463184.662772</v>
      </c>
      <c r="L22" s="6"/>
    </row>
    <row r="23" spans="1:12" ht="13.5" thickBot="1">
      <c r="A23" s="1152">
        <f t="shared" si="0"/>
        <v>14</v>
      </c>
      <c r="B23" s="1153" t="s">
        <v>850</v>
      </c>
      <c r="C23" s="919">
        <f>(SUM(C10:C22)/13)</f>
        <v>5650237542.9364128</v>
      </c>
      <c r="D23" s="919">
        <f t="shared" ref="D23:K23" si="1">(SUM(D10:D22)/13)</f>
        <v>522567088.79999995</v>
      </c>
      <c r="E23" s="919">
        <f t="shared" si="1"/>
        <v>1994304507.8047283</v>
      </c>
      <c r="F23" s="919">
        <f t="shared" si="1"/>
        <v>0</v>
      </c>
      <c r="G23" s="919">
        <f t="shared" si="1"/>
        <v>3728445131.9935708</v>
      </c>
      <c r="H23" s="919">
        <f t="shared" si="1"/>
        <v>0</v>
      </c>
      <c r="I23" s="919">
        <f t="shared" si="1"/>
        <v>310799818.51315445</v>
      </c>
      <c r="J23" s="919">
        <f t="shared" si="1"/>
        <v>1305329.6972030087</v>
      </c>
      <c r="K23" s="918">
        <f t="shared" si="1"/>
        <v>370492889.37664634</v>
      </c>
      <c r="L23" s="6"/>
    </row>
    <row r="24" spans="1:12" ht="13.5" thickTop="1">
      <c r="A24" s="894"/>
      <c r="B24" s="893"/>
      <c r="C24" s="917"/>
      <c r="D24" s="891"/>
      <c r="E24" s="891"/>
      <c r="F24" s="891"/>
      <c r="G24" s="917"/>
      <c r="H24" s="917"/>
      <c r="I24" s="917"/>
      <c r="J24" s="932"/>
      <c r="K24" s="932"/>
      <c r="L24" s="6"/>
    </row>
    <row r="25" spans="1:12" ht="12.75" customHeight="1">
      <c r="A25" s="894"/>
      <c r="B25" s="931"/>
      <c r="C25" s="1552" t="s">
        <v>649</v>
      </c>
      <c r="D25" s="1553"/>
      <c r="E25" s="1553"/>
      <c r="F25" s="1553"/>
      <c r="G25" s="1553"/>
      <c r="H25" s="1553"/>
      <c r="I25" s="1553"/>
      <c r="J25" s="1553"/>
      <c r="K25" s="1554"/>
      <c r="L25" s="6"/>
    </row>
    <row r="26" spans="1:12" s="928" customFormat="1" ht="25.5">
      <c r="A26" s="930" t="s">
        <v>640</v>
      </c>
      <c r="B26" s="929" t="s">
        <v>639</v>
      </c>
      <c r="C26" s="909" t="s">
        <v>230</v>
      </c>
      <c r="D26" s="909" t="s">
        <v>648</v>
      </c>
      <c r="E26" s="909" t="s">
        <v>116</v>
      </c>
      <c r="F26" s="909" t="s">
        <v>647</v>
      </c>
      <c r="G26" s="909" t="s">
        <v>439</v>
      </c>
      <c r="H26" s="909" t="s">
        <v>646</v>
      </c>
      <c r="I26" s="909" t="s">
        <v>335</v>
      </c>
      <c r="J26" s="909" t="s">
        <v>645</v>
      </c>
      <c r="K26" s="908" t="s">
        <v>644</v>
      </c>
      <c r="L26" s="6"/>
    </row>
    <row r="27" spans="1:12" s="901" customFormat="1">
      <c r="A27" s="900"/>
      <c r="B27" s="906" t="s">
        <v>634</v>
      </c>
      <c r="C27" s="905" t="s">
        <v>633</v>
      </c>
      <c r="D27" s="905" t="s">
        <v>632</v>
      </c>
      <c r="E27" s="905" t="s">
        <v>631</v>
      </c>
      <c r="F27" s="905" t="s">
        <v>630</v>
      </c>
      <c r="G27" s="905" t="s">
        <v>652</v>
      </c>
      <c r="H27" s="905" t="s">
        <v>653</v>
      </c>
      <c r="I27" s="905" t="s">
        <v>643</v>
      </c>
      <c r="J27" s="905" t="s">
        <v>642</v>
      </c>
      <c r="K27" s="927" t="s">
        <v>641</v>
      </c>
      <c r="L27" s="6"/>
    </row>
    <row r="28" spans="1:12" s="901" customFormat="1" ht="44.25" customHeight="1">
      <c r="A28" s="900"/>
      <c r="B28" s="906" t="s">
        <v>629</v>
      </c>
      <c r="C28" s="926" t="s">
        <v>380</v>
      </c>
      <c r="D28" s="926" t="s">
        <v>657</v>
      </c>
      <c r="E28" s="926" t="s">
        <v>381</v>
      </c>
      <c r="F28" s="926" t="s">
        <v>658</v>
      </c>
      <c r="G28" s="926" t="s">
        <v>508</v>
      </c>
      <c r="H28" s="926" t="s">
        <v>659</v>
      </c>
      <c r="I28" s="926" t="s">
        <v>482</v>
      </c>
      <c r="J28" s="926" t="s">
        <v>660</v>
      </c>
      <c r="K28" s="925" t="s">
        <v>509</v>
      </c>
      <c r="L28" s="6"/>
    </row>
    <row r="29" spans="1:12">
      <c r="A29" s="900">
        <f>+A23+1</f>
        <v>15</v>
      </c>
      <c r="B29" s="924" t="s">
        <v>627</v>
      </c>
      <c r="C29" s="898">
        <v>3141841549.6302319</v>
      </c>
      <c r="D29" s="898">
        <v>251591102.23999903</v>
      </c>
      <c r="E29" s="898">
        <v>492441419.1787045</v>
      </c>
      <c r="F29" s="898"/>
      <c r="G29" s="898">
        <v>790861054.40405011</v>
      </c>
      <c r="H29" s="898">
        <v>0</v>
      </c>
      <c r="I29" s="898">
        <v>50851015.31835904</v>
      </c>
      <c r="J29" s="898">
        <v>343793.38848966302</v>
      </c>
      <c r="K29" s="1348">
        <v>157384794.098344</v>
      </c>
      <c r="L29" s="6"/>
    </row>
    <row r="30" spans="1:12">
      <c r="A30" s="900">
        <f>+A29+1</f>
        <v>16</v>
      </c>
      <c r="B30" s="924" t="s">
        <v>186</v>
      </c>
      <c r="C30" s="898">
        <v>3163147136.4925632</v>
      </c>
      <c r="D30" s="898">
        <v>253741210.519999</v>
      </c>
      <c r="E30" s="898">
        <v>493368986.77813953</v>
      </c>
      <c r="F30" s="898"/>
      <c r="G30" s="898">
        <v>794309296.72914815</v>
      </c>
      <c r="H30" s="898">
        <v>0</v>
      </c>
      <c r="I30" s="898">
        <v>51159444.875970088</v>
      </c>
      <c r="J30" s="898">
        <v>347489.79432305403</v>
      </c>
      <c r="K30" s="897">
        <v>161231881.31014699</v>
      </c>
      <c r="L30" s="6"/>
    </row>
    <row r="31" spans="1:12">
      <c r="A31" s="900">
        <f t="shared" ref="A31:A42" si="2">+A30+1</f>
        <v>17</v>
      </c>
      <c r="B31" s="923" t="s">
        <v>561</v>
      </c>
      <c r="C31" s="898">
        <v>3184237658.9491177</v>
      </c>
      <c r="D31" s="898">
        <v>255891318.79999903</v>
      </c>
      <c r="E31" s="898">
        <v>493858447.68260837</v>
      </c>
      <c r="F31" s="898"/>
      <c r="G31" s="898">
        <v>797818923.92775118</v>
      </c>
      <c r="H31" s="898">
        <v>0</v>
      </c>
      <c r="I31" s="898">
        <v>51490281.057242602</v>
      </c>
      <c r="J31" s="898">
        <v>351185.42191740696</v>
      </c>
      <c r="K31" s="897">
        <v>165158246.071008</v>
      </c>
      <c r="L31" s="6"/>
    </row>
    <row r="32" spans="1:12">
      <c r="A32" s="900">
        <f t="shared" si="2"/>
        <v>18</v>
      </c>
      <c r="B32" s="923" t="s">
        <v>626</v>
      </c>
      <c r="C32" s="898">
        <v>3205620047.681458</v>
      </c>
      <c r="D32" s="898">
        <v>258041427.079999</v>
      </c>
      <c r="E32" s="898">
        <v>494264606.44029027</v>
      </c>
      <c r="F32" s="898"/>
      <c r="G32" s="898">
        <v>801264324.48769414</v>
      </c>
      <c r="H32" s="898">
        <v>0</v>
      </c>
      <c r="I32" s="898">
        <v>51844669.19754602</v>
      </c>
      <c r="J32" s="898">
        <v>354880.271436574</v>
      </c>
      <c r="K32" s="897">
        <v>161245944.416282</v>
      </c>
      <c r="L32" s="6"/>
    </row>
    <row r="33" spans="1:12">
      <c r="A33" s="900">
        <f t="shared" si="2"/>
        <v>19</v>
      </c>
      <c r="B33" s="923" t="s">
        <v>188</v>
      </c>
      <c r="C33" s="898">
        <v>3226887910.4869947</v>
      </c>
      <c r="D33" s="898">
        <v>260191535.35999903</v>
      </c>
      <c r="E33" s="898">
        <v>494347789.04885715</v>
      </c>
      <c r="F33" s="898"/>
      <c r="G33" s="898">
        <v>804661983.85444105</v>
      </c>
      <c r="H33" s="898">
        <v>0</v>
      </c>
      <c r="I33" s="898">
        <v>52218254.38352187</v>
      </c>
      <c r="J33" s="898">
        <v>358574.34304437099</v>
      </c>
      <c r="K33" s="897">
        <v>165198250.68635198</v>
      </c>
      <c r="L33" s="6"/>
    </row>
    <row r="34" spans="1:12">
      <c r="A34" s="900">
        <f t="shared" si="2"/>
        <v>20</v>
      </c>
      <c r="B34" s="923" t="s">
        <v>189</v>
      </c>
      <c r="C34" s="898">
        <v>3248464231.3485165</v>
      </c>
      <c r="D34" s="898">
        <v>262341643.63999897</v>
      </c>
      <c r="E34" s="898">
        <v>494908823.50724411</v>
      </c>
      <c r="F34" s="898"/>
      <c r="G34" s="898">
        <v>808177604.03099823</v>
      </c>
      <c r="H34" s="898">
        <v>0</v>
      </c>
      <c r="I34" s="898">
        <v>52597573.398026742</v>
      </c>
      <c r="J34" s="898">
        <v>362267.63690457697</v>
      </c>
      <c r="K34" s="897">
        <v>169211499.93263498</v>
      </c>
      <c r="L34" s="6"/>
    </row>
    <row r="35" spans="1:12">
      <c r="A35" s="900">
        <f t="shared" si="2"/>
        <v>21</v>
      </c>
      <c r="B35" s="923" t="s">
        <v>383</v>
      </c>
      <c r="C35" s="898">
        <v>3269910498.127996</v>
      </c>
      <c r="D35" s="898">
        <v>264491751.91999903</v>
      </c>
      <c r="E35" s="898">
        <v>495165728.70976102</v>
      </c>
      <c r="F35" s="898"/>
      <c r="G35" s="898">
        <v>811726128.26601315</v>
      </c>
      <c r="H35" s="898">
        <v>0</v>
      </c>
      <c r="I35" s="898">
        <v>52979090.611263059</v>
      </c>
      <c r="J35" s="898">
        <v>365960.15318093903</v>
      </c>
      <c r="K35" s="897">
        <v>152641358.904706</v>
      </c>
      <c r="L35" s="6"/>
    </row>
    <row r="36" spans="1:12">
      <c r="A36" s="900">
        <f t="shared" si="2"/>
        <v>22</v>
      </c>
      <c r="B36" s="923" t="s">
        <v>190</v>
      </c>
      <c r="C36" s="898">
        <v>3291287906.9462857</v>
      </c>
      <c r="D36" s="898">
        <v>266641860.199999</v>
      </c>
      <c r="E36" s="898">
        <v>495854700.00233305</v>
      </c>
      <c r="F36" s="898"/>
      <c r="G36" s="898">
        <v>815343336.89864719</v>
      </c>
      <c r="H36" s="898">
        <v>0</v>
      </c>
      <c r="I36" s="898">
        <v>53366624.381626539</v>
      </c>
      <c r="J36" s="898">
        <v>369651.89203717001</v>
      </c>
      <c r="K36" s="897">
        <v>156447282.75621602</v>
      </c>
      <c r="L36" s="6"/>
    </row>
    <row r="37" spans="1:12">
      <c r="A37" s="900">
        <f t="shared" si="2"/>
        <v>23</v>
      </c>
      <c r="B37" s="923" t="s">
        <v>625</v>
      </c>
      <c r="C37" s="898">
        <v>3312678036.2317533</v>
      </c>
      <c r="D37" s="898">
        <v>268791968.47999901</v>
      </c>
      <c r="E37" s="898">
        <v>495855489.89397293</v>
      </c>
      <c r="F37" s="898"/>
      <c r="G37" s="898">
        <v>819036808.31771314</v>
      </c>
      <c r="H37" s="898">
        <v>0</v>
      </c>
      <c r="I37" s="898">
        <v>53760303.680104882</v>
      </c>
      <c r="J37" s="898">
        <v>373342.85363694699</v>
      </c>
      <c r="K37" s="897">
        <v>160315522.766626</v>
      </c>
      <c r="L37" s="6"/>
    </row>
    <row r="38" spans="1:12">
      <c r="A38" s="900">
        <f t="shared" si="2"/>
        <v>24</v>
      </c>
      <c r="B38" s="923" t="s">
        <v>193</v>
      </c>
      <c r="C38" s="898">
        <v>3333932734.6912055</v>
      </c>
      <c r="D38" s="898">
        <v>270942076.75999898</v>
      </c>
      <c r="E38" s="898">
        <v>496843898.50675279</v>
      </c>
      <c r="F38" s="898"/>
      <c r="G38" s="898">
        <v>822787535.88306618</v>
      </c>
      <c r="H38" s="898">
        <v>0</v>
      </c>
      <c r="I38" s="898">
        <v>54159417.777822703</v>
      </c>
      <c r="J38" s="898">
        <v>377033.03814391303</v>
      </c>
      <c r="K38" s="897">
        <v>156449626.64359999</v>
      </c>
      <c r="L38" s="6"/>
    </row>
    <row r="39" spans="1:12">
      <c r="A39" s="900">
        <f t="shared" si="2"/>
        <v>25</v>
      </c>
      <c r="B39" s="923" t="s">
        <v>562</v>
      </c>
      <c r="C39" s="898">
        <v>3355314771.1906028</v>
      </c>
      <c r="D39" s="898">
        <v>273092185.03999895</v>
      </c>
      <c r="E39" s="898">
        <v>497495958.06862682</v>
      </c>
      <c r="F39" s="898"/>
      <c r="G39" s="898">
        <v>826651768.9527421</v>
      </c>
      <c r="H39" s="898">
        <v>0</v>
      </c>
      <c r="I39" s="898">
        <v>54564710.050346218</v>
      </c>
      <c r="J39" s="898">
        <v>380722.44572167698</v>
      </c>
      <c r="K39" s="897">
        <v>160378683.770028</v>
      </c>
      <c r="L39" s="6"/>
    </row>
    <row r="40" spans="1:12">
      <c r="A40" s="900">
        <f t="shared" si="2"/>
        <v>26</v>
      </c>
      <c r="B40" s="923" t="s">
        <v>563</v>
      </c>
      <c r="C40" s="898">
        <v>3376321341.1364884</v>
      </c>
      <c r="D40" s="898">
        <v>275242293.31999892</v>
      </c>
      <c r="E40" s="898">
        <v>497460160.00089163</v>
      </c>
      <c r="F40" s="898"/>
      <c r="G40" s="898">
        <v>830556393.21787715</v>
      </c>
      <c r="H40" s="898">
        <v>0</v>
      </c>
      <c r="I40" s="898">
        <v>54974782.363137811</v>
      </c>
      <c r="J40" s="898">
        <v>384411.07653381303</v>
      </c>
      <c r="K40" s="897">
        <v>164388519.81955099</v>
      </c>
      <c r="L40" s="6"/>
    </row>
    <row r="41" spans="1:12">
      <c r="A41" s="899">
        <f t="shared" si="2"/>
        <v>27</v>
      </c>
      <c r="B41" s="922" t="s">
        <v>624</v>
      </c>
      <c r="C41" s="898">
        <v>3397960722.7057595</v>
      </c>
      <c r="D41" s="898">
        <v>277392401.59999901</v>
      </c>
      <c r="E41" s="898">
        <v>497136183.9416545</v>
      </c>
      <c r="F41" s="898"/>
      <c r="G41" s="898">
        <v>825698403.61578608</v>
      </c>
      <c r="H41" s="898">
        <v>0</v>
      </c>
      <c r="I41" s="898">
        <v>55391844.024355404</v>
      </c>
      <c r="J41" s="898">
        <v>388098.93074386002</v>
      </c>
      <c r="K41" s="897">
        <v>155608835.78175601</v>
      </c>
      <c r="L41" s="6"/>
    </row>
    <row r="42" spans="1:12" ht="13.5" thickBot="1">
      <c r="A42" s="921">
        <f t="shared" si="2"/>
        <v>28</v>
      </c>
      <c r="B42" s="1153" t="s">
        <v>850</v>
      </c>
      <c r="C42" s="919">
        <f t="shared" ref="C42:K42" si="3">(SUM(C29:C41)/13)</f>
        <v>3269815734.2783823</v>
      </c>
      <c r="D42" s="919">
        <f t="shared" si="3"/>
        <v>264491751.91999897</v>
      </c>
      <c r="E42" s="919">
        <f t="shared" si="3"/>
        <v>495307860.90460277</v>
      </c>
      <c r="F42" s="919">
        <f t="shared" si="3"/>
        <v>0</v>
      </c>
      <c r="G42" s="919">
        <f t="shared" si="3"/>
        <v>811453350.96814811</v>
      </c>
      <c r="H42" s="919">
        <f t="shared" si="3"/>
        <v>0</v>
      </c>
      <c r="I42" s="919">
        <f t="shared" si="3"/>
        <v>53027539.316871002</v>
      </c>
      <c r="J42" s="919">
        <f t="shared" si="3"/>
        <v>365954.71123953577</v>
      </c>
      <c r="K42" s="918">
        <f t="shared" si="3"/>
        <v>160435418.99671161</v>
      </c>
      <c r="L42" s="6"/>
    </row>
    <row r="43" spans="1:12" ht="13.5" thickTop="1">
      <c r="A43" s="894"/>
      <c r="B43" s="893"/>
      <c r="C43" s="917"/>
      <c r="D43" s="891"/>
      <c r="E43" s="891"/>
      <c r="F43" s="891"/>
      <c r="G43" s="917"/>
      <c r="H43"/>
      <c r="I43"/>
      <c r="J43"/>
      <c r="K43"/>
      <c r="L43" s="6"/>
    </row>
    <row r="44" spans="1:12">
      <c r="A44" s="894"/>
      <c r="B44" s="893"/>
      <c r="C44" s="917"/>
      <c r="D44" s="891"/>
      <c r="E44" s="891"/>
      <c r="F44" s="891"/>
      <c r="G44" s="917"/>
      <c r="H44" s="917"/>
      <c r="I44" s="917"/>
    </row>
    <row r="45" spans="1:12">
      <c r="A45" s="916"/>
      <c r="B45" s="915"/>
      <c r="C45" s="914"/>
      <c r="D45" s="913"/>
      <c r="E45" s="913"/>
      <c r="F45" s="912"/>
      <c r="G45"/>
      <c r="H45"/>
      <c r="I45"/>
      <c r="J45"/>
      <c r="K45"/>
      <c r="L45" s="6"/>
    </row>
    <row r="46" spans="1:12" ht="72" customHeight="1">
      <c r="A46" s="911" t="s">
        <v>640</v>
      </c>
      <c r="B46" s="905" t="s">
        <v>639</v>
      </c>
      <c r="C46" s="910" t="s">
        <v>638</v>
      </c>
      <c r="D46" s="909" t="s">
        <v>637</v>
      </c>
      <c r="E46" s="909" t="s">
        <v>636</v>
      </c>
      <c r="F46" s="908" t="s">
        <v>635</v>
      </c>
      <c r="G46"/>
      <c r="H46"/>
      <c r="I46"/>
      <c r="J46"/>
      <c r="K46"/>
      <c r="L46" s="6"/>
    </row>
    <row r="47" spans="1:12" s="901" customFormat="1">
      <c r="A47" s="900"/>
      <c r="B47" s="905" t="s">
        <v>634</v>
      </c>
      <c r="C47" s="907" t="s">
        <v>633</v>
      </c>
      <c r="D47" s="905" t="s">
        <v>632</v>
      </c>
      <c r="E47" s="905" t="s">
        <v>631</v>
      </c>
      <c r="F47" s="906" t="s">
        <v>630</v>
      </c>
      <c r="G47"/>
      <c r="H47"/>
      <c r="I47"/>
      <c r="J47"/>
      <c r="K47"/>
      <c r="L47" s="6"/>
    </row>
    <row r="48" spans="1:12" s="901" customFormat="1" ht="63.75">
      <c r="A48" s="900"/>
      <c r="B48" s="905" t="s">
        <v>629</v>
      </c>
      <c r="C48" s="904" t="s">
        <v>661</v>
      </c>
      <c r="D48" s="904" t="s">
        <v>662</v>
      </c>
      <c r="E48" s="903" t="s">
        <v>628</v>
      </c>
      <c r="F48" s="902" t="s">
        <v>628</v>
      </c>
      <c r="G48"/>
      <c r="H48"/>
      <c r="I48"/>
      <c r="J48"/>
      <c r="K48"/>
      <c r="L48" s="6"/>
    </row>
    <row r="49" spans="1:12">
      <c r="A49" s="900">
        <f>+A42+1</f>
        <v>29</v>
      </c>
      <c r="B49" s="924" t="s">
        <v>627</v>
      </c>
      <c r="C49" s="898">
        <v>60422685.409999996</v>
      </c>
      <c r="D49" s="898">
        <v>16254025.3973545</v>
      </c>
      <c r="E49" s="898"/>
      <c r="F49" s="897"/>
      <c r="G49"/>
      <c r="H49"/>
      <c r="I49"/>
      <c r="J49"/>
      <c r="K49"/>
      <c r="L49" s="6"/>
    </row>
    <row r="50" spans="1:12">
      <c r="A50" s="900">
        <f>+A49+1</f>
        <v>30</v>
      </c>
      <c r="B50" s="924" t="s">
        <v>186</v>
      </c>
      <c r="C50" s="898">
        <v>60422685.409999996</v>
      </c>
      <c r="D50" s="898">
        <v>16389994.0468255</v>
      </c>
      <c r="E50" s="898"/>
      <c r="F50" s="897"/>
      <c r="G50"/>
      <c r="H50"/>
      <c r="I50"/>
      <c r="J50"/>
      <c r="K50"/>
      <c r="L50" s="6"/>
    </row>
    <row r="51" spans="1:12">
      <c r="A51" s="900">
        <f t="shared" ref="A51:A62" si="4">+A50+1</f>
        <v>31</v>
      </c>
      <c r="B51" s="923" t="s">
        <v>561</v>
      </c>
      <c r="C51" s="898">
        <v>60422685.409999996</v>
      </c>
      <c r="D51" s="898">
        <v>16525962.696296399</v>
      </c>
      <c r="E51" s="898"/>
      <c r="F51" s="897"/>
      <c r="G51"/>
      <c r="H51"/>
      <c r="I51"/>
      <c r="J51"/>
      <c r="K51"/>
      <c r="L51" s="6"/>
    </row>
    <row r="52" spans="1:12">
      <c r="A52" s="900">
        <f t="shared" si="4"/>
        <v>32</v>
      </c>
      <c r="B52" s="923" t="s">
        <v>626</v>
      </c>
      <c r="C52" s="898">
        <v>60422685.409999996</v>
      </c>
      <c r="D52" s="898">
        <v>16661931.345767302</v>
      </c>
      <c r="E52" s="898"/>
      <c r="F52" s="897"/>
      <c r="G52"/>
      <c r="H52"/>
      <c r="I52"/>
      <c r="J52"/>
      <c r="K52"/>
      <c r="L52" s="6"/>
    </row>
    <row r="53" spans="1:12">
      <c r="A53" s="900">
        <f t="shared" si="4"/>
        <v>33</v>
      </c>
      <c r="B53" s="923" t="s">
        <v>188</v>
      </c>
      <c r="C53" s="898">
        <v>60422685.409999996</v>
      </c>
      <c r="D53" s="898">
        <v>16797899.9952382</v>
      </c>
      <c r="E53" s="898"/>
      <c r="F53" s="897"/>
      <c r="G53"/>
      <c r="H53"/>
      <c r="I53"/>
      <c r="J53"/>
      <c r="K53"/>
      <c r="L53" s="6"/>
    </row>
    <row r="54" spans="1:12">
      <c r="A54" s="900">
        <f t="shared" si="4"/>
        <v>34</v>
      </c>
      <c r="B54" s="923" t="s">
        <v>189</v>
      </c>
      <c r="C54" s="898">
        <v>60422685.409999996</v>
      </c>
      <c r="D54" s="898">
        <v>16933868.644709099</v>
      </c>
      <c r="E54" s="898"/>
      <c r="F54" s="897"/>
      <c r="G54"/>
      <c r="H54"/>
      <c r="I54"/>
      <c r="J54"/>
      <c r="K54"/>
      <c r="L54" s="6"/>
    </row>
    <row r="55" spans="1:12">
      <c r="A55" s="900">
        <f t="shared" si="4"/>
        <v>35</v>
      </c>
      <c r="B55" s="923" t="s">
        <v>383</v>
      </c>
      <c r="C55" s="898">
        <v>60422685.409999996</v>
      </c>
      <c r="D55" s="898">
        <v>17069837.294180002</v>
      </c>
      <c r="E55" s="898"/>
      <c r="F55" s="897"/>
      <c r="G55"/>
      <c r="H55"/>
      <c r="I55"/>
      <c r="J55"/>
      <c r="K55"/>
      <c r="L55" s="6"/>
    </row>
    <row r="56" spans="1:12">
      <c r="A56" s="900">
        <f t="shared" si="4"/>
        <v>36</v>
      </c>
      <c r="B56" s="923" t="s">
        <v>190</v>
      </c>
      <c r="C56" s="898">
        <v>60422685.409999996</v>
      </c>
      <c r="D56" s="898">
        <v>17205805.943651002</v>
      </c>
      <c r="E56" s="898"/>
      <c r="F56" s="897"/>
      <c r="G56"/>
      <c r="H56"/>
      <c r="I56"/>
      <c r="J56"/>
      <c r="K56"/>
      <c r="L56" s="6"/>
    </row>
    <row r="57" spans="1:12">
      <c r="A57" s="900">
        <f t="shared" si="4"/>
        <v>37</v>
      </c>
      <c r="B57" s="923" t="s">
        <v>625</v>
      </c>
      <c r="C57" s="898">
        <v>60422685.409999996</v>
      </c>
      <c r="D57" s="898">
        <v>17341774.593121901</v>
      </c>
      <c r="E57" s="898"/>
      <c r="F57" s="897"/>
      <c r="G57"/>
      <c r="H57"/>
      <c r="I57"/>
      <c r="J57"/>
      <c r="K57"/>
      <c r="L57" s="6"/>
    </row>
    <row r="58" spans="1:12">
      <c r="A58" s="900">
        <f t="shared" si="4"/>
        <v>38</v>
      </c>
      <c r="B58" s="923" t="s">
        <v>193</v>
      </c>
      <c r="C58" s="898">
        <v>60422685.409999996</v>
      </c>
      <c r="D58" s="898">
        <v>17477743.242592797</v>
      </c>
      <c r="E58" s="898"/>
      <c r="F58" s="897"/>
      <c r="G58"/>
      <c r="H58"/>
      <c r="I58"/>
      <c r="J58"/>
      <c r="K58"/>
      <c r="L58" s="6"/>
    </row>
    <row r="59" spans="1:12">
      <c r="A59" s="900">
        <f t="shared" si="4"/>
        <v>39</v>
      </c>
      <c r="B59" s="923" t="s">
        <v>562</v>
      </c>
      <c r="C59" s="898">
        <v>60422685.409999996</v>
      </c>
      <c r="D59" s="898">
        <v>17613711.8920637</v>
      </c>
      <c r="E59" s="898"/>
      <c r="F59" s="897"/>
      <c r="G59"/>
      <c r="H59"/>
      <c r="I59"/>
      <c r="J59"/>
      <c r="K59"/>
      <c r="L59" s="6"/>
    </row>
    <row r="60" spans="1:12">
      <c r="A60" s="900">
        <f t="shared" si="4"/>
        <v>40</v>
      </c>
      <c r="B60" s="923" t="s">
        <v>563</v>
      </c>
      <c r="C60" s="898">
        <v>60422685.409999996</v>
      </c>
      <c r="D60" s="898">
        <v>17749680.541534599</v>
      </c>
      <c r="E60" s="898"/>
      <c r="F60" s="897"/>
      <c r="G60"/>
      <c r="H60"/>
      <c r="I60"/>
      <c r="J60"/>
      <c r="K60"/>
      <c r="L60" s="6"/>
    </row>
    <row r="61" spans="1:12">
      <c r="A61" s="899">
        <f t="shared" si="4"/>
        <v>41</v>
      </c>
      <c r="B61" s="922" t="s">
        <v>624</v>
      </c>
      <c r="C61" s="898">
        <v>60422685.409999996</v>
      </c>
      <c r="D61" s="898">
        <v>17885649.191005502</v>
      </c>
      <c r="E61" s="898"/>
      <c r="F61" s="897"/>
      <c r="G61"/>
      <c r="H61"/>
      <c r="I61"/>
      <c r="J61"/>
      <c r="K61"/>
      <c r="L61" s="6"/>
    </row>
    <row r="62" spans="1:12" ht="13.5" thickBot="1">
      <c r="A62" s="896">
        <f t="shared" si="4"/>
        <v>42</v>
      </c>
      <c r="B62" s="1153" t="s">
        <v>850</v>
      </c>
      <c r="C62" s="919">
        <f t="shared" ref="C62" si="5">(SUM(C49:C61)/13)</f>
        <v>60422685.409999974</v>
      </c>
      <c r="D62" s="919">
        <f t="shared" ref="D62" si="6">(SUM(D49:D61)/13)</f>
        <v>17069837.294180039</v>
      </c>
      <c r="E62" s="919">
        <f>ROUND((SUM(E49:E61)/13),-3)</f>
        <v>0</v>
      </c>
      <c r="F62" s="919">
        <f>ROUND((SUM(F49:F61)/13),-3)</f>
        <v>0</v>
      </c>
      <c r="G62" s="1248"/>
      <c r="H62"/>
      <c r="I62"/>
      <c r="J62"/>
      <c r="K62"/>
      <c r="L62" s="6"/>
    </row>
    <row r="63" spans="1:12" ht="13.5" thickTop="1">
      <c r="A63" s="894"/>
      <c r="B63" s="893"/>
      <c r="G63"/>
      <c r="H63"/>
      <c r="I63"/>
      <c r="J63"/>
      <c r="K63"/>
    </row>
    <row r="64" spans="1:12">
      <c r="A64" s="894">
        <v>43</v>
      </c>
      <c r="B64" s="893" t="s">
        <v>623</v>
      </c>
      <c r="D64" s="892">
        <f>+E42-D62</f>
        <v>478238023.61042273</v>
      </c>
      <c r="I64" s="891"/>
      <c r="K64" s="6"/>
    </row>
    <row r="65" spans="1:7" customFormat="1"/>
    <row r="66" spans="1:7" customFormat="1">
      <c r="A66" s="890"/>
      <c r="B66" s="293"/>
      <c r="C66" s="294"/>
      <c r="D66" s="295"/>
      <c r="E66" s="71"/>
      <c r="F66" s="71"/>
      <c r="G66" s="85"/>
    </row>
    <row r="67" spans="1:7" customFormat="1" ht="25.5">
      <c r="A67" s="940" t="s">
        <v>3</v>
      </c>
      <c r="B67" s="293"/>
      <c r="C67" s="937" t="s">
        <v>2</v>
      </c>
      <c r="D67" s="938" t="str">
        <f>"Balance @ December 31, "&amp;TCOS!L4&amp;""</f>
        <v>Balance @ December 31, 2025</v>
      </c>
      <c r="E67" s="939" t="str">
        <f>"Balance @ December 31, "&amp;TCOS!L4-1&amp;""</f>
        <v>Balance @ December 31, 2024</v>
      </c>
      <c r="F67" s="939" t="str">
        <f>"Average Balance for "&amp;TCOS!L4&amp;""</f>
        <v>Average Balance for 2025</v>
      </c>
      <c r="G67" s="85"/>
    </row>
    <row r="68" spans="1:7" customFormat="1">
      <c r="A68" s="90"/>
      <c r="B68" s="905" t="s">
        <v>634</v>
      </c>
      <c r="C68" s="905" t="s">
        <v>633</v>
      </c>
      <c r="D68" s="905" t="s">
        <v>632</v>
      </c>
      <c r="E68" s="905" t="s">
        <v>631</v>
      </c>
      <c r="F68" s="905" t="s">
        <v>630</v>
      </c>
      <c r="G68" s="85"/>
    </row>
    <row r="69" spans="1:7" customFormat="1">
      <c r="A69" s="296">
        <f>+A64+1</f>
        <v>44</v>
      </c>
      <c r="B69" s="90" t="s">
        <v>3</v>
      </c>
      <c r="C69" s="299" t="s">
        <v>375</v>
      </c>
      <c r="D69" s="836">
        <v>1320186.4757238908</v>
      </c>
      <c r="E69" s="836">
        <v>1320262.5869776148</v>
      </c>
      <c r="F69" s="140">
        <f>IF(E69="",0,AVERAGE(D69:E69))</f>
        <v>1320224.5313507528</v>
      </c>
    </row>
    <row r="70" spans="1:7" customFormat="1">
      <c r="A70" s="292"/>
      <c r="B70" s="300"/>
      <c r="C70" s="300"/>
      <c r="F70" s="85"/>
    </row>
    <row r="71" spans="1:7" customFormat="1">
      <c r="A71" s="291">
        <f>+A69+1</f>
        <v>45</v>
      </c>
      <c r="B71" s="90" t="s">
        <v>813</v>
      </c>
      <c r="C71" s="317" t="s">
        <v>68</v>
      </c>
      <c r="D71" s="836">
        <v>146521.17572389098</v>
      </c>
      <c r="E71" s="836">
        <v>146597.286977615</v>
      </c>
      <c r="F71" s="140">
        <f>IF(E71="",0,AVERAGE(D71:E71))</f>
        <v>146559.23135075299</v>
      </c>
    </row>
    <row r="72" spans="1:7" customFormat="1">
      <c r="A72" s="247"/>
      <c r="B72" s="247"/>
      <c r="C72" s="247"/>
      <c r="D72" s="247"/>
    </row>
    <row r="73" spans="1:7" customFormat="1">
      <c r="A73" s="90" t="s">
        <v>237</v>
      </c>
      <c r="B73" s="247"/>
      <c r="C73" s="247"/>
      <c r="D73" s="247"/>
    </row>
    <row r="74" spans="1:7" customFormat="1">
      <c r="A74" s="297"/>
      <c r="B74" s="298" t="s">
        <v>361</v>
      </c>
      <c r="C74" s="298"/>
      <c r="D74" s="79"/>
      <c r="E74" s="79"/>
      <c r="F74" s="79"/>
    </row>
    <row r="75" spans="1:7" customFormat="1">
      <c r="A75" s="296">
        <f>+A71+1</f>
        <v>46</v>
      </c>
      <c r="B75" s="1206" t="s">
        <v>115</v>
      </c>
      <c r="C75" s="1095"/>
      <c r="D75" s="836"/>
      <c r="E75" s="836"/>
      <c r="F75" s="140">
        <f>IF(E75="",0,AVERAGE(D75:E75))</f>
        <v>0</v>
      </c>
    </row>
    <row r="76" spans="1:7" customFormat="1">
      <c r="A76" s="296">
        <f>+A75+1</f>
        <v>47</v>
      </c>
      <c r="B76" s="837"/>
      <c r="C76" s="837"/>
      <c r="D76" s="836"/>
      <c r="E76" s="836"/>
      <c r="F76" s="140">
        <f>IF(E76="",0,AVERAGE(D76:E76))</f>
        <v>0</v>
      </c>
    </row>
    <row r="77" spans="1:7" customFormat="1">
      <c r="A77" s="296">
        <f>+A76+1</f>
        <v>48</v>
      </c>
      <c r="B77" s="837"/>
      <c r="C77" s="837"/>
      <c r="D77" s="836"/>
      <c r="E77" s="836"/>
      <c r="F77" s="140">
        <f>IF(E77="",0,AVERAGE(D77:E77))</f>
        <v>0</v>
      </c>
    </row>
    <row r="78" spans="1:7" customFormat="1">
      <c r="A78" s="296">
        <f>+A77+1</f>
        <v>49</v>
      </c>
      <c r="B78" s="837"/>
      <c r="C78" s="837"/>
      <c r="D78" s="836"/>
      <c r="E78" s="836"/>
      <c r="F78" s="140">
        <f>IF(E78="",0,AVERAGE(D78:E78))</f>
        <v>0</v>
      </c>
    </row>
    <row r="79" spans="1:7" customFormat="1">
      <c r="A79" s="296">
        <f>+A78+1</f>
        <v>50</v>
      </c>
      <c r="B79" s="837"/>
      <c r="C79" s="837"/>
      <c r="D79" s="838"/>
      <c r="E79" s="838"/>
      <c r="F79" s="945">
        <f>IF(E79="",0,AVERAGE(D79:E79))</f>
        <v>0</v>
      </c>
    </row>
    <row r="80" spans="1:7" customFormat="1">
      <c r="A80" s="296">
        <f>+A79+1</f>
        <v>51</v>
      </c>
      <c r="B80" s="298" t="s">
        <v>498</v>
      </c>
      <c r="C80" s="298"/>
      <c r="D80" s="193">
        <f>SUM(D75:D79)</f>
        <v>0</v>
      </c>
      <c r="E80" s="193">
        <f>SUM(E75:E79)</f>
        <v>0</v>
      </c>
      <c r="F80" s="193">
        <f>SUM(F75:F79)</f>
        <v>0</v>
      </c>
    </row>
    <row r="81" spans="1:7" customFormat="1">
      <c r="A81" s="296"/>
      <c r="B81" s="298"/>
      <c r="C81" s="298"/>
      <c r="D81" s="193"/>
      <c r="E81" s="193"/>
      <c r="F81" s="193"/>
    </row>
    <row r="82" spans="1:7" customFormat="1" ht="18">
      <c r="A82" s="90" t="s">
        <v>746</v>
      </c>
      <c r="B82" s="887"/>
      <c r="C82" s="887"/>
      <c r="D82" s="887"/>
      <c r="E82" s="79"/>
      <c r="F82" s="79"/>
      <c r="G82" s="79"/>
    </row>
    <row r="83" spans="1:7" customFormat="1">
      <c r="A83" s="76"/>
      <c r="B83" s="253"/>
      <c r="C83" s="256"/>
      <c r="D83" s="8"/>
      <c r="E83" s="79"/>
      <c r="F83" s="79"/>
      <c r="G83" s="79"/>
    </row>
    <row r="84" spans="1:7" customFormat="1">
      <c r="A84" s="76">
        <f>+A80+1</f>
        <v>52</v>
      </c>
      <c r="B84" s="13" t="s">
        <v>168</v>
      </c>
      <c r="C84" s="13" t="s">
        <v>307</v>
      </c>
      <c r="D84" s="941"/>
      <c r="E84" s="21"/>
      <c r="F84" s="13"/>
      <c r="G84" s="21"/>
    </row>
    <row r="85" spans="1:7" customFormat="1" ht="14.25">
      <c r="A85" s="942" t="s">
        <v>739</v>
      </c>
      <c r="B85" s="1206" t="s">
        <v>855</v>
      </c>
      <c r="C85" s="1095">
        <v>2282000</v>
      </c>
      <c r="D85" s="836">
        <v>800896.43</v>
      </c>
      <c r="E85" s="836">
        <v>800896.43</v>
      </c>
      <c r="F85" s="946">
        <f>IF(E85="",0,AVERAGE(D85:E85))</f>
        <v>800896.43</v>
      </c>
      <c r="G85" s="21"/>
    </row>
    <row r="86" spans="1:7" customFormat="1" ht="14.25">
      <c r="A86" s="943" t="s">
        <v>740</v>
      </c>
      <c r="B86" s="1206"/>
      <c r="C86" s="1095"/>
      <c r="D86" s="836"/>
      <c r="E86" s="836"/>
      <c r="F86" s="946">
        <f>IF(E86="",0,AVERAGE(D86:E86))</f>
        <v>0</v>
      </c>
      <c r="G86" s="21"/>
    </row>
    <row r="87" spans="1:7" customFormat="1" ht="14.25">
      <c r="A87" s="943" t="s">
        <v>1066</v>
      </c>
      <c r="B87" s="1206"/>
      <c r="C87" s="1095"/>
      <c r="D87" s="836"/>
      <c r="E87" s="836"/>
      <c r="F87" s="947">
        <f>IF(E87="",0,AVERAGE(D87:E87))</f>
        <v>0</v>
      </c>
      <c r="G87" s="21"/>
    </row>
    <row r="88" spans="1:7" customFormat="1" ht="18" customHeight="1">
      <c r="A88" s="944">
        <v>54</v>
      </c>
      <c r="B88" s="21"/>
      <c r="C88" s="5" t="s">
        <v>119</v>
      </c>
      <c r="D88" s="892">
        <f>SUM(D85:D87)</f>
        <v>800896.43</v>
      </c>
      <c r="E88" s="892">
        <f>SUM(E85:E87)</f>
        <v>800896.43</v>
      </c>
      <c r="F88" s="892">
        <f>SUM(F85:F87)</f>
        <v>800896.43</v>
      </c>
      <c r="G88" s="21"/>
    </row>
    <row r="89" spans="1:7" customFormat="1">
      <c r="A89" s="296"/>
      <c r="B89" s="298"/>
      <c r="C89" s="298"/>
      <c r="D89" s="298"/>
      <c r="G89" s="21"/>
    </row>
    <row r="90" spans="1:7">
      <c r="A90" s="936" t="s">
        <v>665</v>
      </c>
      <c r="B90" s="298"/>
      <c r="C90" s="298"/>
      <c r="D90" s="298"/>
      <c r="G90" s="941"/>
    </row>
    <row r="91" spans="1:7">
      <c r="A91" s="936" t="s">
        <v>664</v>
      </c>
      <c r="B91" s="298"/>
      <c r="C91" s="298"/>
      <c r="D91" s="298"/>
    </row>
    <row r="92" spans="1:7">
      <c r="A92"/>
      <c r="B92"/>
      <c r="C92"/>
      <c r="D92"/>
    </row>
    <row r="93" spans="1:7">
      <c r="A93"/>
      <c r="B93"/>
      <c r="C93"/>
      <c r="D93"/>
    </row>
    <row r="94" spans="1:7">
      <c r="A94"/>
      <c r="B94"/>
      <c r="C94"/>
      <c r="D94"/>
    </row>
    <row r="95" spans="1:7">
      <c r="A95"/>
      <c r="B95"/>
      <c r="C95"/>
      <c r="D95"/>
    </row>
    <row r="96" spans="1:7">
      <c r="A96"/>
      <c r="B96"/>
      <c r="C96"/>
      <c r="D96"/>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L105"/>
  <sheetViews>
    <sheetView topLeftCell="A53" zoomScale="90" zoomScaleNormal="90" zoomScaleSheetLayoutView="70" zoomScalePageLayoutView="85" workbookViewId="0">
      <selection activeCell="H79" sqref="H79"/>
    </sheetView>
  </sheetViews>
  <sheetFormatPr defaultColWidth="11.42578125" defaultRowHeight="12.75"/>
  <cols>
    <col min="1" max="1" width="10.28515625" style="967" customWidth="1"/>
    <col min="2" max="2" width="52.28515625" style="948" customWidth="1"/>
    <col min="3" max="7" width="20.28515625" style="948" customWidth="1"/>
    <col min="8" max="8" width="23" style="948" customWidth="1"/>
    <col min="9" max="11" width="20.28515625" style="948" customWidth="1"/>
    <col min="12" max="12" width="20" style="948" customWidth="1"/>
    <col min="13" max="14" width="15.140625" style="948" customWidth="1"/>
    <col min="15" max="16384" width="11.42578125" style="948"/>
  </cols>
  <sheetData>
    <row r="1" spans="1:12" ht="15">
      <c r="A1" s="1547" t="s">
        <v>388</v>
      </c>
      <c r="B1" s="1547"/>
      <c r="C1" s="1547"/>
      <c r="D1" s="1547"/>
      <c r="E1" s="1547"/>
      <c r="F1" s="1547"/>
      <c r="G1" s="1547"/>
      <c r="H1" s="894"/>
    </row>
    <row r="2" spans="1:12" ht="15">
      <c r="A2" s="1548" t="str">
        <f>"Cost of Service Formula Rate Using Actual/Projected FF1 Balances"</f>
        <v>Cost of Service Formula Rate Using Actual/Projected FF1 Balances</v>
      </c>
      <c r="B2" s="1548"/>
      <c r="C2" s="1548"/>
      <c r="D2" s="1548"/>
      <c r="E2" s="1548"/>
      <c r="F2" s="1548"/>
      <c r="G2" s="1548"/>
      <c r="H2" s="949"/>
      <c r="I2" s="949"/>
      <c r="J2" s="949"/>
      <c r="L2" s="950"/>
    </row>
    <row r="3" spans="1:12" ht="15">
      <c r="A3" s="1548" t="s">
        <v>666</v>
      </c>
      <c r="B3" s="1548"/>
      <c r="C3" s="1548"/>
      <c r="D3" s="1548"/>
      <c r="E3" s="1548"/>
      <c r="F3" s="1548"/>
      <c r="G3" s="1548"/>
      <c r="H3" s="949"/>
      <c r="I3" s="949"/>
      <c r="J3" s="949"/>
    </row>
    <row r="4" spans="1:12" ht="15">
      <c r="A4" s="1555" t="str">
        <f>TCOS!F9</f>
        <v xml:space="preserve">Indiana Michigan Power Company </v>
      </c>
      <c r="B4" s="1555"/>
      <c r="C4" s="1555"/>
      <c r="D4" s="1555"/>
      <c r="E4" s="1555"/>
      <c r="F4" s="1555"/>
      <c r="G4" s="1555"/>
      <c r="H4" s="949"/>
      <c r="I4" s="949"/>
      <c r="J4" s="949"/>
    </row>
    <row r="5" spans="1:12">
      <c r="A5" s="949"/>
      <c r="B5" s="951"/>
      <c r="C5" s="951"/>
      <c r="D5" s="951"/>
      <c r="E5" s="952"/>
      <c r="F5" s="953"/>
      <c r="H5"/>
      <c r="I5"/>
      <c r="J5"/>
      <c r="K5"/>
      <c r="L5"/>
    </row>
    <row r="6" spans="1:12" ht="12.75" customHeight="1">
      <c r="A6" s="894"/>
      <c r="B6" s="931"/>
      <c r="C6" s="1549" t="s">
        <v>6</v>
      </c>
      <c r="D6" s="1550"/>
      <c r="E6" s="1550"/>
      <c r="F6" s="1550"/>
      <c r="G6" s="1551"/>
      <c r="H6" s="6"/>
      <c r="I6"/>
      <c r="J6"/>
      <c r="K6"/>
      <c r="L6"/>
    </row>
    <row r="7" spans="1:12" s="955" customFormat="1" ht="38.25">
      <c r="A7" s="930" t="s">
        <v>640</v>
      </c>
      <c r="B7" s="929" t="s">
        <v>639</v>
      </c>
      <c r="C7" s="910" t="s">
        <v>667</v>
      </c>
      <c r="D7" s="909" t="s">
        <v>369</v>
      </c>
      <c r="E7" s="909" t="s">
        <v>668</v>
      </c>
      <c r="F7" s="909" t="s">
        <v>669</v>
      </c>
      <c r="G7" s="954" t="s">
        <v>6</v>
      </c>
      <c r="H7" s="6"/>
      <c r="I7"/>
      <c r="J7"/>
      <c r="K7"/>
      <c r="L7"/>
    </row>
    <row r="8" spans="1:12" s="957" customFormat="1">
      <c r="A8" s="900"/>
      <c r="B8" s="906" t="s">
        <v>634</v>
      </c>
      <c r="C8" s="907" t="s">
        <v>633</v>
      </c>
      <c r="D8" s="905" t="s">
        <v>632</v>
      </c>
      <c r="E8" s="905" t="s">
        <v>631</v>
      </c>
      <c r="F8" s="905" t="s">
        <v>630</v>
      </c>
      <c r="G8" s="956" t="s">
        <v>670</v>
      </c>
      <c r="H8" s="6"/>
      <c r="I8"/>
      <c r="J8"/>
      <c r="K8"/>
      <c r="L8"/>
    </row>
    <row r="9" spans="1:12" s="957" customFormat="1" ht="44.25" customHeight="1">
      <c r="A9" s="900"/>
      <c r="B9" s="906" t="s">
        <v>629</v>
      </c>
      <c r="C9" s="958" t="s">
        <v>671</v>
      </c>
      <c r="D9" s="926" t="s">
        <v>672</v>
      </c>
      <c r="E9" s="926" t="s">
        <v>673</v>
      </c>
      <c r="F9" s="926" t="s">
        <v>674</v>
      </c>
      <c r="G9" s="959"/>
      <c r="H9" s="6"/>
      <c r="I9"/>
      <c r="J9"/>
      <c r="K9" s="21"/>
      <c r="L9"/>
    </row>
    <row r="10" spans="1:12">
      <c r="A10" s="900">
        <v>1</v>
      </c>
      <c r="B10" s="924" t="s">
        <v>627</v>
      </c>
      <c r="C10" s="960">
        <v>3417182042.6463099</v>
      </c>
      <c r="D10" s="960"/>
      <c r="E10" s="960">
        <v>-2416144.29</v>
      </c>
      <c r="F10" s="960">
        <v>-59692.856538459098</v>
      </c>
      <c r="G10" s="961">
        <f t="shared" ref="G10:G22" si="0">+C10-D10-E10-F10</f>
        <v>3419657879.7928481</v>
      </c>
      <c r="H10" s="6"/>
      <c r="I10"/>
      <c r="J10"/>
      <c r="K10" s="1339"/>
      <c r="L10"/>
    </row>
    <row r="11" spans="1:12">
      <c r="A11" s="900">
        <f t="shared" ref="A11:A23" si="1">+A10+1</f>
        <v>2</v>
      </c>
      <c r="B11" s="924" t="s">
        <v>186</v>
      </c>
      <c r="C11" s="960">
        <v>3454106777.0419002</v>
      </c>
      <c r="D11" s="960"/>
      <c r="E11" s="960">
        <v>-2314731.41</v>
      </c>
      <c r="F11" s="960">
        <v>10142.696153848601</v>
      </c>
      <c r="G11" s="961">
        <f t="shared" si="0"/>
        <v>3456411365.7557464</v>
      </c>
      <c r="H11" s="6"/>
      <c r="I11"/>
      <c r="J11"/>
      <c r="K11" s="1339"/>
      <c r="L11"/>
    </row>
    <row r="12" spans="1:12">
      <c r="A12" s="900">
        <f t="shared" si="1"/>
        <v>3</v>
      </c>
      <c r="B12" s="923" t="s">
        <v>561</v>
      </c>
      <c r="C12" s="960">
        <v>3442226403.4959302</v>
      </c>
      <c r="D12" s="960"/>
      <c r="E12" s="960">
        <v>-2271122.29</v>
      </c>
      <c r="F12" s="960">
        <v>79978.248846156406</v>
      </c>
      <c r="G12" s="961">
        <f t="shared" si="0"/>
        <v>3444417547.5370841</v>
      </c>
      <c r="H12" s="6"/>
      <c r="I12"/>
      <c r="J12"/>
      <c r="K12" s="1339"/>
      <c r="L12"/>
    </row>
    <row r="13" spans="1:12">
      <c r="A13" s="900">
        <f t="shared" si="1"/>
        <v>4</v>
      </c>
      <c r="B13" s="923" t="s">
        <v>626</v>
      </c>
      <c r="C13" s="960">
        <v>3472047398.7588701</v>
      </c>
      <c r="D13" s="960"/>
      <c r="E13" s="960">
        <v>-2179698.65</v>
      </c>
      <c r="F13" s="960">
        <v>149813.801538464</v>
      </c>
      <c r="G13" s="961">
        <f t="shared" si="0"/>
        <v>3474077283.6073318</v>
      </c>
      <c r="H13" s="6"/>
      <c r="I13"/>
      <c r="J13"/>
      <c r="K13" s="1339"/>
      <c r="L13"/>
    </row>
    <row r="14" spans="1:12">
      <c r="A14" s="900">
        <f t="shared" si="1"/>
        <v>5</v>
      </c>
      <c r="B14" s="923" t="s">
        <v>188</v>
      </c>
      <c r="C14" s="960">
        <v>3482218715.2775898</v>
      </c>
      <c r="D14" s="960"/>
      <c r="E14" s="960">
        <v>-2103033.48</v>
      </c>
      <c r="F14" s="960">
        <v>219649.35423077198</v>
      </c>
      <c r="G14" s="961">
        <f t="shared" si="0"/>
        <v>3484102099.4033589</v>
      </c>
      <c r="H14" s="6"/>
      <c r="I14"/>
      <c r="J14"/>
      <c r="K14" s="1339"/>
      <c r="L14"/>
    </row>
    <row r="15" spans="1:12">
      <c r="A15" s="900">
        <f t="shared" si="1"/>
        <v>6</v>
      </c>
      <c r="B15" s="923" t="s">
        <v>189</v>
      </c>
      <c r="C15" s="960">
        <v>3460236930.7052999</v>
      </c>
      <c r="D15" s="960"/>
      <c r="E15" s="960">
        <v>-2004036.36</v>
      </c>
      <c r="F15" s="960">
        <v>289484.90692307899</v>
      </c>
      <c r="G15" s="961">
        <f t="shared" si="0"/>
        <v>3461951482.1583767</v>
      </c>
      <c r="H15" s="6"/>
      <c r="I15"/>
      <c r="J15"/>
      <c r="K15" s="1339"/>
      <c r="L15"/>
    </row>
    <row r="16" spans="1:12">
      <c r="A16" s="900">
        <f t="shared" si="1"/>
        <v>7</v>
      </c>
      <c r="B16" s="923" t="s">
        <v>383</v>
      </c>
      <c r="C16" s="960">
        <v>3500079043.5188303</v>
      </c>
      <c r="D16" s="960"/>
      <c r="E16" s="960">
        <v>-1918842.94</v>
      </c>
      <c r="F16" s="960">
        <v>359320.45961538702</v>
      </c>
      <c r="G16" s="961">
        <f t="shared" si="0"/>
        <v>3501638565.9992151</v>
      </c>
      <c r="H16" s="6"/>
      <c r="I16"/>
      <c r="J16"/>
      <c r="K16" s="1339"/>
      <c r="L16"/>
    </row>
    <row r="17" spans="1:12">
      <c r="A17" s="900">
        <f t="shared" si="1"/>
        <v>8</v>
      </c>
      <c r="B17" s="923" t="s">
        <v>190</v>
      </c>
      <c r="C17" s="960">
        <v>3550848225.49087</v>
      </c>
      <c r="D17" s="960"/>
      <c r="E17" s="960">
        <v>-2086826.4</v>
      </c>
      <c r="F17" s="960">
        <v>429156.012307695</v>
      </c>
      <c r="G17" s="961">
        <f t="shared" si="0"/>
        <v>3552505895.8785625</v>
      </c>
      <c r="H17" s="6"/>
      <c r="I17"/>
      <c r="J17"/>
      <c r="K17" s="1339"/>
      <c r="L17"/>
    </row>
    <row r="18" spans="1:12">
      <c r="A18" s="900">
        <f t="shared" si="1"/>
        <v>9</v>
      </c>
      <c r="B18" s="923" t="s">
        <v>625</v>
      </c>
      <c r="C18" s="960">
        <v>3545864401.9657297</v>
      </c>
      <c r="D18" s="960"/>
      <c r="E18" s="960">
        <v>-2086934.5</v>
      </c>
      <c r="F18" s="960">
        <v>498991.56500000297</v>
      </c>
      <c r="G18" s="961">
        <f t="shared" si="0"/>
        <v>3547452344.9007297</v>
      </c>
      <c r="H18" s="6"/>
      <c r="I18"/>
      <c r="J18"/>
      <c r="K18" s="1339"/>
      <c r="L18"/>
    </row>
    <row r="19" spans="1:12">
      <c r="A19" s="900">
        <f t="shared" si="1"/>
        <v>10</v>
      </c>
      <c r="B19" s="923" t="s">
        <v>193</v>
      </c>
      <c r="C19" s="960">
        <v>3572222489.4973502</v>
      </c>
      <c r="D19" s="960"/>
      <c r="E19" s="960">
        <v>-2086934.5</v>
      </c>
      <c r="F19" s="960">
        <v>568827.11769231106</v>
      </c>
      <c r="G19" s="961">
        <f t="shared" si="0"/>
        <v>3573740596.8796577</v>
      </c>
      <c r="H19" s="6"/>
      <c r="I19"/>
      <c r="J19"/>
      <c r="K19" s="1339"/>
      <c r="L19"/>
    </row>
    <row r="20" spans="1:12">
      <c r="A20" s="900">
        <f t="shared" si="1"/>
        <v>11</v>
      </c>
      <c r="B20" s="923" t="s">
        <v>562</v>
      </c>
      <c r="C20" s="960">
        <v>3597592436.4111104</v>
      </c>
      <c r="D20" s="960"/>
      <c r="E20" s="960">
        <v>-2086934.5</v>
      </c>
      <c r="F20" s="960">
        <v>638662.67038461904</v>
      </c>
      <c r="G20" s="961">
        <f t="shared" si="0"/>
        <v>3599040708.240726</v>
      </c>
      <c r="H20" s="6"/>
      <c r="I20"/>
      <c r="J20"/>
      <c r="K20" s="1339"/>
      <c r="L20"/>
    </row>
    <row r="21" spans="1:12">
      <c r="A21" s="900">
        <f t="shared" si="1"/>
        <v>12</v>
      </c>
      <c r="B21" s="923" t="s">
        <v>563</v>
      </c>
      <c r="C21" s="960">
        <v>3574392867.6712804</v>
      </c>
      <c r="D21" s="960"/>
      <c r="E21" s="960">
        <v>-2086934.5</v>
      </c>
      <c r="F21" s="960">
        <v>708498.22307692608</v>
      </c>
      <c r="G21" s="961">
        <f t="shared" si="0"/>
        <v>3575771303.9482036</v>
      </c>
      <c r="H21" s="6"/>
      <c r="I21"/>
      <c r="J21"/>
      <c r="K21" s="1339"/>
      <c r="L21"/>
    </row>
    <row r="22" spans="1:12">
      <c r="A22" s="899">
        <f t="shared" si="1"/>
        <v>13</v>
      </c>
      <c r="B22" s="922" t="s">
        <v>624</v>
      </c>
      <c r="C22" s="960">
        <v>3615385456.7450199</v>
      </c>
      <c r="D22" s="960"/>
      <c r="E22" s="960">
        <v>-2086934.5</v>
      </c>
      <c r="F22" s="960">
        <v>778333.77576923394</v>
      </c>
      <c r="G22" s="961">
        <f t="shared" si="0"/>
        <v>3616694057.4692507</v>
      </c>
      <c r="H22" s="6"/>
      <c r="I22"/>
      <c r="J22"/>
      <c r="K22" s="1339"/>
      <c r="L22"/>
    </row>
    <row r="23" spans="1:12" ht="13.5" thickBot="1">
      <c r="A23" s="921">
        <f t="shared" si="1"/>
        <v>14</v>
      </c>
      <c r="B23" s="920" t="s">
        <v>851</v>
      </c>
      <c r="C23" s="895">
        <f>(SUM(C10:C22)/13)</f>
        <v>3514184860.7096987</v>
      </c>
      <c r="D23" s="895">
        <f>SUM(D10:D22)/13</f>
        <v>0</v>
      </c>
      <c r="E23" s="895">
        <f t="shared" ref="E23:G23" si="2">(SUM(E10:E22)/13)</f>
        <v>-2133008.3323076922</v>
      </c>
      <c r="F23" s="895">
        <f t="shared" si="2"/>
        <v>359320.45961538737</v>
      </c>
      <c r="G23" s="895">
        <f t="shared" si="2"/>
        <v>3515958548.5823917</v>
      </c>
      <c r="H23" s="1349"/>
      <c r="I23"/>
      <c r="J23"/>
      <c r="K23" s="21"/>
      <c r="L23"/>
    </row>
    <row r="24" spans="1:12" ht="13.5" thickTop="1">
      <c r="A24" s="894"/>
      <c r="B24" s="893"/>
      <c r="C24" s="917"/>
      <c r="D24" s="891"/>
      <c r="E24" s="891"/>
      <c r="F24" s="891"/>
      <c r="G24" s="917"/>
      <c r="H24" s="917"/>
      <c r="I24"/>
      <c r="J24"/>
      <c r="K24" s="21"/>
      <c r="L24"/>
    </row>
    <row r="25" spans="1:12" ht="12.75" customHeight="1">
      <c r="A25" s="894"/>
      <c r="B25" s="931"/>
      <c r="C25" s="1620" t="s">
        <v>675</v>
      </c>
      <c r="D25" s="1621"/>
      <c r="E25" s="1621"/>
      <c r="F25" s="1621"/>
      <c r="G25" s="1621"/>
      <c r="H25" s="1622"/>
      <c r="I25"/>
      <c r="J25"/>
      <c r="K25" s="21"/>
      <c r="L25"/>
    </row>
    <row r="26" spans="1:12" s="955" customFormat="1" ht="38.25">
      <c r="A26" s="930" t="s">
        <v>640</v>
      </c>
      <c r="B26" s="929" t="s">
        <v>639</v>
      </c>
      <c r="C26" s="910" t="s">
        <v>687</v>
      </c>
      <c r="D26" s="909" t="s">
        <v>686</v>
      </c>
      <c r="E26" s="909" t="s">
        <v>685</v>
      </c>
      <c r="F26" s="909" t="s">
        <v>684</v>
      </c>
      <c r="G26" s="909" t="s">
        <v>676</v>
      </c>
      <c r="H26" s="954" t="s">
        <v>620</v>
      </c>
      <c r="I26"/>
      <c r="J26"/>
      <c r="K26"/>
      <c r="L26"/>
    </row>
    <row r="27" spans="1:12" s="957" customFormat="1">
      <c r="A27" s="900"/>
      <c r="B27" s="906" t="s">
        <v>634</v>
      </c>
      <c r="C27" s="907" t="s">
        <v>633</v>
      </c>
      <c r="D27" s="905" t="s">
        <v>632</v>
      </c>
      <c r="E27" s="905" t="s">
        <v>631</v>
      </c>
      <c r="F27" s="905" t="s">
        <v>630</v>
      </c>
      <c r="G27" s="905" t="s">
        <v>652</v>
      </c>
      <c r="H27" s="956" t="s">
        <v>677</v>
      </c>
      <c r="I27"/>
      <c r="J27"/>
      <c r="K27"/>
      <c r="L27"/>
    </row>
    <row r="28" spans="1:12" s="957" customFormat="1" ht="44.25" customHeight="1">
      <c r="A28" s="900"/>
      <c r="B28" s="906" t="s">
        <v>629</v>
      </c>
      <c r="C28" s="958" t="s">
        <v>678</v>
      </c>
      <c r="D28" s="926" t="s">
        <v>679</v>
      </c>
      <c r="E28" s="926" t="s">
        <v>680</v>
      </c>
      <c r="F28" s="926" t="s">
        <v>681</v>
      </c>
      <c r="G28" s="926" t="s">
        <v>682</v>
      </c>
      <c r="H28" s="962"/>
      <c r="I28"/>
      <c r="J28"/>
      <c r="K28"/>
      <c r="L28"/>
    </row>
    <row r="29" spans="1:12">
      <c r="A29" s="900">
        <f>+A23+1</f>
        <v>15</v>
      </c>
      <c r="B29" s="924" t="s">
        <v>627</v>
      </c>
      <c r="C29" s="960"/>
      <c r="D29" s="960">
        <v>0</v>
      </c>
      <c r="E29" s="960"/>
      <c r="F29" s="960">
        <v>3075809874.6700001</v>
      </c>
      <c r="G29" s="960"/>
      <c r="H29" s="961">
        <f t="shared" ref="H29:H41" si="3">+C29-D29+E29+F29-G29</f>
        <v>3075809874.6700001</v>
      </c>
      <c r="I29"/>
      <c r="J29"/>
      <c r="K29"/>
      <c r="L29"/>
    </row>
    <row r="30" spans="1:12">
      <c r="A30" s="900">
        <f t="shared" ref="A30:A42" si="4">+A29+1</f>
        <v>16</v>
      </c>
      <c r="B30" s="924" t="s">
        <v>186</v>
      </c>
      <c r="C30" s="1205"/>
      <c r="D30" s="1205">
        <v>0</v>
      </c>
      <c r="E30" s="876"/>
      <c r="F30" s="960">
        <v>3063208851.4559708</v>
      </c>
      <c r="G30" s="1205"/>
      <c r="H30" s="961">
        <f t="shared" si="3"/>
        <v>3063208851.4559708</v>
      </c>
      <c r="I30"/>
      <c r="J30"/>
      <c r="K30"/>
      <c r="L30"/>
    </row>
    <row r="31" spans="1:12">
      <c r="A31" s="900">
        <f t="shared" si="4"/>
        <v>17</v>
      </c>
      <c r="B31" s="923" t="s">
        <v>561</v>
      </c>
      <c r="C31" s="1205"/>
      <c r="D31" s="1205">
        <v>0</v>
      </c>
      <c r="E31" s="876"/>
      <c r="F31" s="960">
        <v>3063208851.4559708</v>
      </c>
      <c r="G31" s="1205"/>
      <c r="H31" s="961">
        <f t="shared" si="3"/>
        <v>3063208851.4559708</v>
      </c>
      <c r="I31"/>
      <c r="J31"/>
      <c r="K31"/>
      <c r="L31"/>
    </row>
    <row r="32" spans="1:12">
      <c r="A32" s="900">
        <f t="shared" si="4"/>
        <v>18</v>
      </c>
      <c r="B32" s="923" t="s">
        <v>626</v>
      </c>
      <c r="C32" s="1205"/>
      <c r="D32" s="1205">
        <v>0</v>
      </c>
      <c r="E32" s="876"/>
      <c r="F32" s="960">
        <v>3063208851.4559708</v>
      </c>
      <c r="G32" s="1205"/>
      <c r="H32" s="961">
        <f t="shared" si="3"/>
        <v>3063208851.4559708</v>
      </c>
      <c r="I32"/>
      <c r="J32"/>
      <c r="K32"/>
      <c r="L32"/>
    </row>
    <row r="33" spans="1:12">
      <c r="A33" s="900">
        <f t="shared" si="4"/>
        <v>19</v>
      </c>
      <c r="B33" s="923" t="s">
        <v>188</v>
      </c>
      <c r="C33" s="1205"/>
      <c r="D33" s="1205">
        <v>0</v>
      </c>
      <c r="E33" s="876"/>
      <c r="F33" s="960">
        <v>3023208851.4559708</v>
      </c>
      <c r="G33" s="1205"/>
      <c r="H33" s="961">
        <f t="shared" si="3"/>
        <v>3023208851.4559708</v>
      </c>
      <c r="I33"/>
      <c r="J33"/>
      <c r="K33"/>
      <c r="L33"/>
    </row>
    <row r="34" spans="1:12">
      <c r="A34" s="900">
        <f t="shared" si="4"/>
        <v>20</v>
      </c>
      <c r="B34" s="923" t="s">
        <v>189</v>
      </c>
      <c r="C34" s="1205"/>
      <c r="D34" s="1205">
        <v>0</v>
      </c>
      <c r="E34" s="876"/>
      <c r="F34" s="960">
        <v>3023208851.4559708</v>
      </c>
      <c r="G34" s="1205"/>
      <c r="H34" s="961">
        <f t="shared" si="3"/>
        <v>3023208851.4559708</v>
      </c>
      <c r="I34"/>
      <c r="J34"/>
      <c r="K34"/>
      <c r="L34"/>
    </row>
    <row r="35" spans="1:12">
      <c r="A35" s="900">
        <f t="shared" si="4"/>
        <v>21</v>
      </c>
      <c r="B35" s="923" t="s">
        <v>383</v>
      </c>
      <c r="C35" s="1205"/>
      <c r="D35" s="1205">
        <v>0</v>
      </c>
      <c r="E35" s="876"/>
      <c r="F35" s="960">
        <v>2873208851.4559708</v>
      </c>
      <c r="G35" s="1205"/>
      <c r="H35" s="961">
        <f t="shared" si="3"/>
        <v>2873208851.4559708</v>
      </c>
      <c r="I35"/>
      <c r="J35"/>
      <c r="K35"/>
      <c r="L35"/>
    </row>
    <row r="36" spans="1:12">
      <c r="A36" s="900">
        <f t="shared" si="4"/>
        <v>22</v>
      </c>
      <c r="B36" s="923" t="s">
        <v>190</v>
      </c>
      <c r="C36" s="1205"/>
      <c r="D36" s="1205">
        <v>0</v>
      </c>
      <c r="E36" s="876"/>
      <c r="F36" s="960">
        <v>2873208851.4559708</v>
      </c>
      <c r="G36" s="1205"/>
      <c r="H36" s="961">
        <f t="shared" si="3"/>
        <v>2873208851.4559708</v>
      </c>
      <c r="I36"/>
      <c r="J36"/>
      <c r="K36"/>
      <c r="L36"/>
    </row>
    <row r="37" spans="1:12">
      <c r="A37" s="900">
        <f t="shared" si="4"/>
        <v>23</v>
      </c>
      <c r="B37" s="923" t="s">
        <v>625</v>
      </c>
      <c r="C37" s="1205"/>
      <c r="D37" s="1205">
        <v>0</v>
      </c>
      <c r="E37" s="876"/>
      <c r="F37" s="960">
        <v>2873208851.4559708</v>
      </c>
      <c r="G37" s="1205"/>
      <c r="H37" s="961">
        <f t="shared" si="3"/>
        <v>2873208851.4559708</v>
      </c>
      <c r="I37"/>
      <c r="J37"/>
      <c r="K37"/>
      <c r="L37"/>
    </row>
    <row r="38" spans="1:12">
      <c r="A38" s="900">
        <f t="shared" si="4"/>
        <v>24</v>
      </c>
      <c r="B38" s="923" t="s">
        <v>193</v>
      </c>
      <c r="C38" s="1205"/>
      <c r="D38" s="1205">
        <v>0</v>
      </c>
      <c r="E38" s="876"/>
      <c r="F38" s="960">
        <v>2873208851.4559708</v>
      </c>
      <c r="G38" s="1205"/>
      <c r="H38" s="961">
        <f t="shared" si="3"/>
        <v>2873208851.4559708</v>
      </c>
      <c r="I38"/>
      <c r="J38"/>
      <c r="K38"/>
      <c r="L38"/>
    </row>
    <row r="39" spans="1:12">
      <c r="A39" s="900">
        <f t="shared" si="4"/>
        <v>25</v>
      </c>
      <c r="B39" s="923" t="s">
        <v>562</v>
      </c>
      <c r="C39" s="1205"/>
      <c r="D39" s="1205">
        <v>0</v>
      </c>
      <c r="E39" s="876"/>
      <c r="F39" s="960">
        <v>2873208851.4559708</v>
      </c>
      <c r="G39" s="1205"/>
      <c r="H39" s="961">
        <f t="shared" si="3"/>
        <v>2873208851.4559708</v>
      </c>
      <c r="I39"/>
      <c r="J39"/>
      <c r="K39"/>
      <c r="L39"/>
    </row>
    <row r="40" spans="1:12">
      <c r="A40" s="900">
        <f t="shared" si="4"/>
        <v>26</v>
      </c>
      <c r="B40" s="923" t="s">
        <v>563</v>
      </c>
      <c r="C40" s="1205"/>
      <c r="D40" s="1205">
        <v>0</v>
      </c>
      <c r="E40" s="876"/>
      <c r="F40" s="960">
        <v>2873208851.4559708</v>
      </c>
      <c r="G40" s="1205"/>
      <c r="H40" s="961">
        <f t="shared" si="3"/>
        <v>2873208851.4559708</v>
      </c>
      <c r="I40"/>
      <c r="J40"/>
      <c r="K40"/>
      <c r="L40"/>
    </row>
    <row r="41" spans="1:12">
      <c r="A41" s="899">
        <f t="shared" si="4"/>
        <v>27</v>
      </c>
      <c r="B41" s="922" t="s">
        <v>624</v>
      </c>
      <c r="C41" s="960"/>
      <c r="D41" s="960">
        <v>0</v>
      </c>
      <c r="E41" s="876"/>
      <c r="F41" s="960">
        <v>2873208851.4559708</v>
      </c>
      <c r="G41" s="960"/>
      <c r="H41" s="961">
        <f t="shared" si="3"/>
        <v>2873208851.4559708</v>
      </c>
      <c r="I41"/>
      <c r="J41"/>
      <c r="K41"/>
      <c r="L41"/>
    </row>
    <row r="42" spans="1:12" ht="13.5" thickBot="1">
      <c r="A42" s="921">
        <f t="shared" si="4"/>
        <v>28</v>
      </c>
      <c r="B42" s="920" t="s">
        <v>851</v>
      </c>
      <c r="C42" s="895">
        <f t="shared" ref="C42:H42" si="5">(SUM(C29:C41)/13)</f>
        <v>0</v>
      </c>
      <c r="D42" s="895">
        <f t="shared" si="5"/>
        <v>0</v>
      </c>
      <c r="E42" s="895">
        <f t="shared" si="5"/>
        <v>0</v>
      </c>
      <c r="F42" s="895">
        <f t="shared" si="5"/>
        <v>2955716622.4724345</v>
      </c>
      <c r="G42" s="895">
        <f t="shared" si="5"/>
        <v>0</v>
      </c>
      <c r="H42" s="895">
        <f t="shared" si="5"/>
        <v>2955716622.4724345</v>
      </c>
      <c r="I42" s="1248"/>
      <c r="J42"/>
      <c r="K42"/>
      <c r="L42"/>
    </row>
    <row r="43" spans="1:12" ht="13.5" thickTop="1">
      <c r="A43" s="949"/>
      <c r="B43" s="963"/>
      <c r="C43" s="964"/>
      <c r="D43" s="965"/>
      <c r="E43" s="965"/>
      <c r="F43" s="965"/>
      <c r="G43" s="964"/>
      <c r="H43" s="964"/>
      <c r="I43"/>
      <c r="J43"/>
      <c r="K43"/>
      <c r="L43"/>
    </row>
    <row r="44" spans="1:12" ht="12.75" customHeight="1">
      <c r="A44" s="966" t="s">
        <v>683</v>
      </c>
      <c r="F44" s="601"/>
      <c r="G44" s="601"/>
      <c r="H44" s="601"/>
      <c r="I44"/>
      <c r="J44"/>
      <c r="K44"/>
    </row>
    <row r="45" spans="1:12">
      <c r="E45" s="601"/>
      <c r="F45" s="601"/>
      <c r="G45" s="601"/>
      <c r="H45" s="601"/>
      <c r="J45" s="963"/>
    </row>
    <row r="46" spans="1:12" ht="15">
      <c r="A46" s="968" t="s">
        <v>7</v>
      </c>
      <c r="E46" s="601"/>
      <c r="F46" s="601"/>
      <c r="G46" s="601"/>
      <c r="H46" s="894"/>
    </row>
    <row r="47" spans="1:12" ht="15">
      <c r="A47" s="968"/>
      <c r="B47" s="969" t="s">
        <v>634</v>
      </c>
      <c r="C47" s="969" t="s">
        <v>633</v>
      </c>
      <c r="D47" s="970" t="s">
        <v>632</v>
      </c>
      <c r="E47" s="969" t="s">
        <v>631</v>
      </c>
      <c r="F47" s="970" t="s">
        <v>630</v>
      </c>
      <c r="G47" s="969" t="s">
        <v>652</v>
      </c>
      <c r="H47" s="969" t="s">
        <v>653</v>
      </c>
    </row>
    <row r="48" spans="1:12">
      <c r="A48" s="674">
        <f>+A42+1</f>
        <v>29</v>
      </c>
      <c r="B48" s="971" t="str">
        <f>"Annual Interest Expense for "&amp;TCOS!L4</f>
        <v>Annual Interest Expense for 2025</v>
      </c>
      <c r="C48" s="972"/>
      <c r="D48" s="973"/>
      <c r="E48" s="974"/>
      <c r="F48" s="974"/>
      <c r="G48" s="974"/>
      <c r="H48" s="974"/>
      <c r="I48" s="974"/>
      <c r="J48" s="974"/>
      <c r="K48" s="974"/>
      <c r="L48" s="974"/>
    </row>
    <row r="49" spans="1:12">
      <c r="A49" s="674">
        <f t="shared" ref="A49:A56" si="6">+A48+1</f>
        <v>30</v>
      </c>
      <c r="B49" s="1131" t="s">
        <v>755</v>
      </c>
      <c r="C49" s="972"/>
      <c r="D49" s="973"/>
      <c r="E49" s="976">
        <v>132943367.99076901</v>
      </c>
      <c r="F49" s="974"/>
      <c r="G49" s="974"/>
      <c r="H49" s="974"/>
      <c r="I49" s="974"/>
      <c r="J49" s="974"/>
      <c r="K49" s="974"/>
      <c r="L49" s="974"/>
    </row>
    <row r="50" spans="1:12" ht="28.5" customHeight="1">
      <c r="A50" s="674">
        <f t="shared" si="6"/>
        <v>31</v>
      </c>
      <c r="B50" s="1614" t="str">
        <f>"Less: Total Hedge Gain/Expense Accumulated from p 256-257, col. (i) of FERC Form 1  included in Ln "&amp;A49&amp;" and shown in "&amp;A74&amp;" below."</f>
        <v>Less: Total Hedge Gain/Expense Accumulated from p 256-257, col. (i) of FERC Form 1  included in Ln 30 and shown in 50 below.</v>
      </c>
      <c r="C50" s="1615"/>
      <c r="D50" s="973"/>
      <c r="E50" s="972">
        <f>+C74</f>
        <v>2069180.6113924053</v>
      </c>
      <c r="F50" s="974"/>
      <c r="G50" s="974"/>
      <c r="H50" s="974"/>
      <c r="I50" s="974"/>
      <c r="J50" s="974"/>
      <c r="K50" s="974"/>
      <c r="L50" s="974"/>
    </row>
    <row r="51" spans="1:12" ht="16.5" customHeight="1">
      <c r="A51" s="674">
        <f t="shared" si="6"/>
        <v>32</v>
      </c>
      <c r="B51" s="977" t="str">
        <f>"Plus:  Allowed Hedge Recovery From Ln "&amp;A80&amp;"  below."</f>
        <v>Plus:  Allowed Hedge Recovery From Ln 55  below.</v>
      </c>
      <c r="C51" s="1132"/>
      <c r="D51" s="973"/>
      <c r="E51" s="978">
        <f>+E80</f>
        <v>865821.61139240523</v>
      </c>
      <c r="F51" s="974"/>
      <c r="G51" s="974"/>
      <c r="H51" s="974"/>
      <c r="I51" s="974"/>
      <c r="J51" s="974"/>
      <c r="K51" s="974"/>
      <c r="L51" s="974"/>
    </row>
    <row r="52" spans="1:12">
      <c r="A52" s="674">
        <f t="shared" si="6"/>
        <v>33</v>
      </c>
      <c r="B52" s="1131" t="s">
        <v>756</v>
      </c>
      <c r="C52" s="1133"/>
      <c r="D52" s="979"/>
      <c r="E52" s="976">
        <v>1634051.38019804</v>
      </c>
      <c r="F52" s="974"/>
      <c r="G52" s="974"/>
      <c r="H52" s="974"/>
      <c r="I52" s="974"/>
      <c r="J52" s="974"/>
    </row>
    <row r="53" spans="1:12">
      <c r="A53" s="674">
        <f t="shared" si="6"/>
        <v>34</v>
      </c>
      <c r="B53" s="1131" t="s">
        <v>757</v>
      </c>
      <c r="C53" s="980"/>
      <c r="D53" s="973"/>
      <c r="E53" s="976">
        <v>298956</v>
      </c>
      <c r="F53" s="974"/>
      <c r="G53" s="974"/>
      <c r="H53" s="974"/>
      <c r="I53" s="974"/>
      <c r="J53" s="974"/>
    </row>
    <row r="54" spans="1:12">
      <c r="A54" s="674">
        <f t="shared" si="6"/>
        <v>35</v>
      </c>
      <c r="B54" s="1131" t="s">
        <v>758</v>
      </c>
      <c r="C54" s="980"/>
      <c r="D54" s="973"/>
      <c r="E54" s="976"/>
      <c r="F54" s="974"/>
      <c r="G54" s="974"/>
      <c r="H54" s="974"/>
      <c r="I54" s="974"/>
      <c r="J54" s="974"/>
    </row>
    <row r="55" spans="1:12" ht="13.5" thickBot="1">
      <c r="A55" s="674">
        <f t="shared" si="6"/>
        <v>36</v>
      </c>
      <c r="B55" s="1131" t="s">
        <v>759</v>
      </c>
      <c r="C55" s="980"/>
      <c r="D55" s="973"/>
      <c r="E55" s="981"/>
      <c r="F55" s="974"/>
      <c r="G55" s="974"/>
      <c r="H55" s="974"/>
      <c r="I55" s="974"/>
      <c r="J55" s="974"/>
    </row>
    <row r="56" spans="1:12">
      <c r="A56" s="674">
        <f t="shared" si="6"/>
        <v>37</v>
      </c>
      <c r="B56" s="971" t="str">
        <f>"Total Interest Expense (Ln "&amp;A49&amp;" - "&amp;A50&amp;" + "&amp;A52&amp;" + "&amp;A53&amp;" - "&amp;A54&amp;" - "&amp;A55&amp;")"</f>
        <v>Total Interest Expense (Ln 30 - 31 + 33 + 34 - 35 - 36)</v>
      </c>
      <c r="C56" s="982"/>
      <c r="D56" s="983"/>
      <c r="E56" s="984">
        <f>+E49-E50+E51+E52+E53-E54-E55</f>
        <v>133673016.37096706</v>
      </c>
      <c r="F56" s="974"/>
      <c r="G56" s="974"/>
      <c r="H56" s="974"/>
      <c r="I56" s="974"/>
      <c r="J56" s="974"/>
    </row>
    <row r="57" spans="1:12" ht="13.5" thickBot="1">
      <c r="A57" s="674"/>
      <c r="B57" s="975"/>
      <c r="C57" s="980"/>
      <c r="D57" s="973"/>
      <c r="E57" s="984"/>
      <c r="F57" s="974"/>
      <c r="G57" s="974"/>
      <c r="H57" s="974"/>
      <c r="I57" s="974"/>
      <c r="J57" s="974"/>
    </row>
    <row r="58" spans="1:12" ht="13.5" thickBot="1">
      <c r="A58" s="674">
        <f>+A56+1</f>
        <v>38</v>
      </c>
      <c r="B58" s="971" t="str">
        <f>"Average Cost of Debt for "&amp;TCOS!L4&amp;" (Ln "&amp;A56&amp;"/ ln "&amp;A42&amp;" (g))"</f>
        <v>Average Cost of Debt for 2025 (Ln 37/ ln 28 (g))</v>
      </c>
      <c r="C58" s="982"/>
      <c r="D58" s="973"/>
      <c r="E58" s="985">
        <f>+E56/H42</f>
        <v>4.5225247696157891E-2</v>
      </c>
      <c r="F58" s="974"/>
      <c r="G58" s="974"/>
      <c r="H58" s="974"/>
      <c r="I58" s="974"/>
      <c r="J58" s="974"/>
    </row>
    <row r="59" spans="1:12">
      <c r="A59" s="986"/>
      <c r="B59" s="975"/>
      <c r="C59" s="980"/>
      <c r="D59" s="973"/>
      <c r="E59" s="980"/>
      <c r="F59" s="974"/>
      <c r="G59" s="974"/>
      <c r="H59" s="974"/>
      <c r="I59" s="974"/>
      <c r="J59" s="974"/>
    </row>
    <row r="60" spans="1:12" s="988" customFormat="1" ht="28.5" customHeight="1">
      <c r="A60" s="788"/>
      <c r="B60" s="1616" t="s">
        <v>0</v>
      </c>
      <c r="C60" s="1616"/>
      <c r="D60" s="1616"/>
      <c r="E60" s="1616"/>
      <c r="F60" s="789"/>
      <c r="G60" s="987"/>
    </row>
    <row r="61" spans="1:12" s="988" customFormat="1" ht="107.25" customHeight="1">
      <c r="A61" s="790">
        <f>+A58+1</f>
        <v>39</v>
      </c>
      <c r="B61" s="1617" t="s">
        <v>313</v>
      </c>
      <c r="C61" s="1618"/>
      <c r="D61" s="1618"/>
      <c r="E61" s="1618"/>
      <c r="F61" s="601"/>
      <c r="G61" s="987"/>
    </row>
    <row r="62" spans="1:12" s="988" customFormat="1" ht="12" customHeight="1">
      <c r="A62" s="788"/>
      <c r="B62" s="791"/>
      <c r="C62" s="791"/>
      <c r="D62" s="791"/>
      <c r="E62" s="791"/>
      <c r="F62" s="987"/>
      <c r="G62" s="1619" t="s">
        <v>233</v>
      </c>
      <c r="H62" s="1619"/>
    </row>
    <row r="63" spans="1:12" s="988" customFormat="1" ht="52.5" customHeight="1">
      <c r="A63" s="615"/>
      <c r="B63" s="990" t="s">
        <v>360</v>
      </c>
      <c r="C63" s="989" t="str">
        <f>"Total Hedge (Gain)/Loss for "&amp;TCOS!L4</f>
        <v>Total Hedge (Gain)/Loss for 2025</v>
      </c>
      <c r="D63" s="989" t="str">
        <f>"Less Excludable Amounts (See NOTE on Line "&amp;A61&amp;")"</f>
        <v>Less Excludable Amounts (See NOTE on Line 39)</v>
      </c>
      <c r="E63" s="989" t="s">
        <v>1</v>
      </c>
      <c r="F63" s="989" t="s">
        <v>232</v>
      </c>
      <c r="G63" s="989" t="s">
        <v>284</v>
      </c>
      <c r="H63" s="989" t="s">
        <v>286</v>
      </c>
    </row>
    <row r="64" spans="1:12" s="988" customFormat="1" ht="12.75" customHeight="1">
      <c r="A64" s="615">
        <f>+A61+1</f>
        <v>40</v>
      </c>
      <c r="B64" s="991" t="s">
        <v>1197</v>
      </c>
      <c r="C64" s="976">
        <v>0</v>
      </c>
      <c r="D64" s="976">
        <v>0</v>
      </c>
      <c r="E64" s="992">
        <f t="shared" ref="E64:E72" si="7">+C64-D64</f>
        <v>0</v>
      </c>
      <c r="F64" s="976">
        <v>0</v>
      </c>
      <c r="G64" s="1255" t="s">
        <v>1198</v>
      </c>
      <c r="H64" s="1255" t="s">
        <v>1199</v>
      </c>
      <c r="I64" s="345"/>
      <c r="J64" s="345"/>
    </row>
    <row r="65" spans="1:8" s="988" customFormat="1" ht="12.75" customHeight="1">
      <c r="A65" s="615">
        <f t="shared" ref="A65:A74" si="8">+A64+1</f>
        <v>41</v>
      </c>
      <c r="B65" s="991" t="s">
        <v>1200</v>
      </c>
      <c r="C65" s="976">
        <v>0</v>
      </c>
      <c r="D65" s="976">
        <v>0</v>
      </c>
      <c r="E65" s="992">
        <f t="shared" si="7"/>
        <v>0</v>
      </c>
      <c r="F65" s="976">
        <v>0</v>
      </c>
      <c r="G65" s="1255">
        <v>38693</v>
      </c>
      <c r="H65" s="1255">
        <v>42338</v>
      </c>
    </row>
    <row r="66" spans="1:8" s="988" customFormat="1" ht="12.75" customHeight="1">
      <c r="A66" s="615">
        <f t="shared" si="8"/>
        <v>42</v>
      </c>
      <c r="B66" s="991" t="s">
        <v>1201</v>
      </c>
      <c r="C66" s="976">
        <v>421740.70000000019</v>
      </c>
      <c r="D66" s="976">
        <v>0</v>
      </c>
      <c r="E66" s="992">
        <f t="shared" si="7"/>
        <v>421740.70000000019</v>
      </c>
      <c r="F66" s="976">
        <v>5535340.9999999991</v>
      </c>
      <c r="G66" s="1255">
        <v>39035</v>
      </c>
      <c r="H66" s="1255">
        <v>50099</v>
      </c>
    </row>
    <row r="67" spans="1:8" s="988" customFormat="1" ht="12.75" customHeight="1">
      <c r="A67" s="615">
        <f t="shared" si="8"/>
        <v>43</v>
      </c>
      <c r="B67" s="991" t="s">
        <v>1202</v>
      </c>
      <c r="C67" s="976">
        <v>334684.91139240505</v>
      </c>
      <c r="D67" s="976">
        <v>0</v>
      </c>
      <c r="E67" s="992">
        <f t="shared" si="7"/>
        <v>334684.91139240505</v>
      </c>
      <c r="F67" s="976">
        <v>0</v>
      </c>
      <c r="G67" s="1255">
        <v>41348</v>
      </c>
      <c r="H67" s="1255">
        <v>45000</v>
      </c>
    </row>
    <row r="68" spans="1:8" s="988" customFormat="1" ht="12.75" customHeight="1">
      <c r="A68" s="615">
        <f t="shared" si="8"/>
        <v>44</v>
      </c>
      <c r="B68" s="991" t="s">
        <v>1203</v>
      </c>
      <c r="C68" s="976">
        <v>1312755</v>
      </c>
      <c r="D68" s="976">
        <v>1203359</v>
      </c>
      <c r="E68" s="992">
        <f t="shared" ref="E68" si="9">+C68-D68</f>
        <v>109396</v>
      </c>
      <c r="F68" s="976">
        <v>1203359.0886075948</v>
      </c>
      <c r="G68" s="1255">
        <v>45016</v>
      </c>
      <c r="H68" s="1255">
        <v>12113</v>
      </c>
    </row>
    <row r="69" spans="1:8" s="988" customFormat="1" ht="12.75" customHeight="1">
      <c r="A69" s="615">
        <f t="shared" si="8"/>
        <v>45</v>
      </c>
      <c r="B69" s="991"/>
      <c r="C69" s="876"/>
      <c r="D69" s="991"/>
      <c r="E69" s="992">
        <f t="shared" si="7"/>
        <v>0</v>
      </c>
      <c r="F69" s="876"/>
      <c r="G69" s="993"/>
      <c r="H69" s="993"/>
    </row>
    <row r="70" spans="1:8" s="988" customFormat="1" ht="12.75" customHeight="1">
      <c r="A70" s="615">
        <f t="shared" si="8"/>
        <v>46</v>
      </c>
      <c r="B70" s="991"/>
      <c r="C70" s="876"/>
      <c r="D70" s="991"/>
      <c r="E70" s="992">
        <f t="shared" si="7"/>
        <v>0</v>
      </c>
      <c r="F70" s="876"/>
      <c r="G70" s="993"/>
      <c r="H70" s="993"/>
    </row>
    <row r="71" spans="1:8" s="988" customFormat="1" ht="12.75" customHeight="1">
      <c r="A71" s="615">
        <f t="shared" si="8"/>
        <v>47</v>
      </c>
      <c r="B71" s="991"/>
      <c r="C71" s="876"/>
      <c r="D71" s="994"/>
      <c r="E71" s="992">
        <f t="shared" si="7"/>
        <v>0</v>
      </c>
      <c r="F71" s="876"/>
      <c r="G71" s="993"/>
      <c r="H71" s="993"/>
    </row>
    <row r="72" spans="1:8" s="988" customFormat="1" ht="12.75" customHeight="1">
      <c r="A72" s="615">
        <f t="shared" si="8"/>
        <v>48</v>
      </c>
      <c r="B72" s="991"/>
      <c r="C72" s="876"/>
      <c r="D72" s="976"/>
      <c r="E72" s="992">
        <f t="shared" si="7"/>
        <v>0</v>
      </c>
      <c r="F72" s="995"/>
      <c r="G72" s="995"/>
      <c r="H72" s="995"/>
    </row>
    <row r="73" spans="1:8" s="988" customFormat="1" ht="12.75" customHeight="1">
      <c r="A73" s="615">
        <f t="shared" si="8"/>
        <v>49</v>
      </c>
      <c r="B73" s="558"/>
      <c r="C73" s="996"/>
      <c r="D73" s="996"/>
      <c r="E73" s="997"/>
      <c r="F73" s="992">
        <f>SUM(F64:F72)</f>
        <v>6738700.0886075944</v>
      </c>
      <c r="G73" s="987"/>
    </row>
    <row r="74" spans="1:8" s="988" customFormat="1" ht="12.75" customHeight="1">
      <c r="A74" s="615">
        <f t="shared" si="8"/>
        <v>50</v>
      </c>
      <c r="B74" s="975" t="s">
        <v>8</v>
      </c>
      <c r="C74" s="984">
        <f>SUM(C64:C72)</f>
        <v>2069180.6113924053</v>
      </c>
      <c r="D74" s="984">
        <f>SUM(D64:D72)</f>
        <v>1203359</v>
      </c>
      <c r="F74" s="987"/>
      <c r="G74" s="987"/>
    </row>
    <row r="75" spans="1:8" s="988" customFormat="1" ht="21" customHeight="1">
      <c r="A75" s="615"/>
      <c r="B75" s="975"/>
      <c r="C75" s="984"/>
      <c r="D75" s="984"/>
      <c r="E75" s="984"/>
      <c r="F75" s="987"/>
      <c r="G75" s="987"/>
    </row>
    <row r="76" spans="1:8" s="988" customFormat="1" ht="14.25" customHeight="1">
      <c r="A76" s="615">
        <f>+A74+1</f>
        <v>51</v>
      </c>
      <c r="B76" s="975" t="str">
        <f>"Hedge Gain or Loss Prior to Application of Recovery Limit (Sum of Lines "&amp;A64&amp;" to "&amp;A72&amp;")"</f>
        <v>Hedge Gain or Loss Prior to Application of Recovery Limit (Sum of Lines 40 to 48)</v>
      </c>
      <c r="C76" s="984"/>
      <c r="D76" s="984"/>
      <c r="E76" s="984">
        <f>SUM(E64:E72)</f>
        <v>865821.61139240523</v>
      </c>
      <c r="F76" s="987"/>
      <c r="G76" s="987"/>
    </row>
    <row r="77" spans="1:8" s="988" customFormat="1" ht="12.75" customHeight="1">
      <c r="A77" s="615">
        <f>+A76+1</f>
        <v>52</v>
      </c>
      <c r="B77" s="998" t="str">
        <f>"Total Average Capital Structure Balance for "&amp;TCOS!L4&amp;" (TCOS, Ln "&amp;TCOS!B258&amp;")"</f>
        <v>Total Average Capital Structure Balance for 2025 (TCOS, Ln 157)</v>
      </c>
      <c r="C77" s="980"/>
      <c r="D77" s="973"/>
      <c r="E77" s="999">
        <f>TCOS!G258</f>
        <v>6471675171.0548258</v>
      </c>
      <c r="F77" s="987"/>
      <c r="G77" s="987"/>
      <c r="H77" s="1000"/>
    </row>
    <row r="78" spans="1:8" s="988" customFormat="1" ht="12.75" customHeight="1">
      <c r="A78" s="615">
        <f>+A77+1</f>
        <v>53</v>
      </c>
      <c r="B78" s="975" t="s">
        <v>490</v>
      </c>
      <c r="C78" s="980"/>
      <c r="D78" s="973"/>
      <c r="E78" s="1001">
        <v>5.0000000000000001E-4</v>
      </c>
      <c r="F78" s="987"/>
      <c r="G78" s="1002"/>
    </row>
    <row r="79" spans="1:8" s="988" customFormat="1" ht="12.75" customHeight="1" thickBot="1">
      <c r="A79" s="615">
        <f>+A78+1</f>
        <v>54</v>
      </c>
      <c r="B79" s="975" t="s">
        <v>491</v>
      </c>
      <c r="C79" s="980"/>
      <c r="D79" s="973"/>
      <c r="E79" s="1003">
        <f>+E77*E78</f>
        <v>3235837.5855274131</v>
      </c>
      <c r="F79" s="987"/>
      <c r="G79" s="987"/>
    </row>
    <row r="80" spans="1:8" s="988" customFormat="1" ht="12.75" customHeight="1" thickBot="1">
      <c r="A80" s="615">
        <f>+A79+1</f>
        <v>55</v>
      </c>
      <c r="B80" s="971" t="str">
        <f>"Recoverable Hedge Amortization (Lesser of Ln "&amp;A76&amp;" or Ln "&amp;A79&amp;")"</f>
        <v>Recoverable Hedge Amortization (Lesser of Ln 51 or Ln 54)</v>
      </c>
      <c r="C80" s="980"/>
      <c r="D80" s="973"/>
      <c r="E80" s="1004">
        <f>+IF(E79&lt;E76,E79,E76)</f>
        <v>865821.61139240523</v>
      </c>
      <c r="F80" s="987"/>
      <c r="G80" s="987"/>
    </row>
    <row r="81" spans="1:7" s="988" customFormat="1" ht="12.75" customHeight="1">
      <c r="A81" s="615"/>
      <c r="B81" s="975"/>
      <c r="C81" s="980"/>
      <c r="D81" s="973"/>
      <c r="E81" s="980"/>
      <c r="F81" s="987"/>
      <c r="G81" s="987"/>
    </row>
    <row r="82" spans="1:7" s="988" customFormat="1" ht="12.75" customHeight="1">
      <c r="A82" s="1005" t="s">
        <v>9</v>
      </c>
      <c r="B82" s="1006"/>
      <c r="C82" s="980"/>
      <c r="D82" s="973"/>
      <c r="E82" s="980"/>
      <c r="F82" s="987"/>
      <c r="G82" s="987"/>
    </row>
    <row r="83" spans="1:7" s="988" customFormat="1" ht="12.75" customHeight="1">
      <c r="A83" s="615"/>
      <c r="B83" s="975"/>
      <c r="C83" s="980"/>
      <c r="D83" s="973"/>
      <c r="E83" s="980"/>
      <c r="F83" s="987"/>
      <c r="G83" s="987"/>
    </row>
    <row r="84" spans="1:7" s="988" customFormat="1" ht="12.75" customHeight="1">
      <c r="A84" s="615"/>
      <c r="B84" s="1007" t="s">
        <v>259</v>
      </c>
      <c r="C84" s="1008"/>
      <c r="D84" s="1009"/>
      <c r="E84" s="1008" t="s">
        <v>507</v>
      </c>
      <c r="F84" s="987"/>
      <c r="G84" s="987"/>
    </row>
    <row r="85" spans="1:7" s="988" customFormat="1" ht="12.75" customHeight="1">
      <c r="A85" s="615">
        <f>+A80+1</f>
        <v>56</v>
      </c>
      <c r="B85" s="973" t="str">
        <f>""&amp;C$85*100&amp;"% Series - "&amp;C$86&amp;" - Dividend Rate (p. 250-251)"</f>
        <v>0% Series - 0 - Dividend Rate (p. 250-251)</v>
      </c>
      <c r="C85" s="1010">
        <v>0</v>
      </c>
      <c r="D85" s="1010">
        <v>0</v>
      </c>
      <c r="E85" s="1008"/>
      <c r="F85" s="987"/>
      <c r="G85" s="987"/>
    </row>
    <row r="86" spans="1:7" s="988" customFormat="1" ht="12.75" customHeight="1">
      <c r="A86" s="615">
        <f>+A85+1</f>
        <v>57</v>
      </c>
      <c r="B86" s="973" t="str">
        <f>""&amp;C$85*100&amp;"% Series - "&amp;C$86&amp;" - Par Value (p. 250-251)"</f>
        <v>0% Series - 0 - Par Value (p. 250-251)</v>
      </c>
      <c r="C86" s="1011">
        <v>0</v>
      </c>
      <c r="D86" s="1011">
        <v>0</v>
      </c>
      <c r="E86" s="1008"/>
      <c r="F86" s="987"/>
      <c r="G86" s="987"/>
    </row>
    <row r="87" spans="1:7" s="988" customFormat="1" ht="12.75" customHeight="1">
      <c r="A87" s="615">
        <f>+A86+1</f>
        <v>58</v>
      </c>
      <c r="B87" s="973" t="str">
        <f>""&amp;C$85*100&amp;"% Series - "&amp;C$86&amp;" - Shares O/S (p.250-251) "</f>
        <v xml:space="preserve">0% Series - 0 - Shares O/S (p.250-251) </v>
      </c>
      <c r="C87" s="976">
        <v>0</v>
      </c>
      <c r="D87" s="976">
        <v>0</v>
      </c>
      <c r="E87" s="1012"/>
      <c r="F87" s="987"/>
      <c r="G87" s="987"/>
    </row>
    <row r="88" spans="1:7" s="988" customFormat="1" ht="12.75" customHeight="1">
      <c r="A88" s="615">
        <f>+A87+1</f>
        <v>59</v>
      </c>
      <c r="B88" s="973" t="str">
        <f>""&amp;C$85*100&amp;"% Series - "&amp;C$86&amp;" - Monetary Value (Ln "&amp;A86&amp;" * Ln "&amp;A87&amp;")"</f>
        <v>0% Series - 0 - Monetary Value (Ln 57 * Ln 58)</v>
      </c>
      <c r="C88" s="1013">
        <f>+C87*C86</f>
        <v>0</v>
      </c>
      <c r="D88" s="1013">
        <f>+D87*D86</f>
        <v>0</v>
      </c>
      <c r="E88" s="1014">
        <f>IF(C88=D88=0,0,AVERAGE(C88:D88))</f>
        <v>0</v>
      </c>
      <c r="F88" s="987"/>
      <c r="G88" s="987"/>
    </row>
    <row r="89" spans="1:7" s="988" customFormat="1" ht="12.75" customHeight="1">
      <c r="A89" s="615">
        <f>+A88+1</f>
        <v>60</v>
      </c>
      <c r="B89" s="973" t="str">
        <f>""&amp;C$85*100&amp;"% Series - "&amp;C$86&amp;" -  Dividend Amount (Ln "&amp;A85&amp;" * Ln "&amp;A88&amp;")"</f>
        <v>0% Series - 0 -  Dividend Amount (Ln 56 * Ln 59)</v>
      </c>
      <c r="C89" s="1013">
        <f>+C88*C85</f>
        <v>0</v>
      </c>
      <c r="D89" s="1013">
        <f>+D88*D85</f>
        <v>0</v>
      </c>
      <c r="E89" s="1014">
        <f>IF(C89=D89=0,0,AVERAGE(C89:D89))</f>
        <v>0</v>
      </c>
      <c r="F89" s="987"/>
      <c r="G89" s="987"/>
    </row>
    <row r="90" spans="1:7" s="988" customFormat="1" ht="12.75" customHeight="1">
      <c r="A90" s="615"/>
      <c r="B90" s="973"/>
      <c r="C90" s="1013"/>
      <c r="D90" s="1002"/>
      <c r="E90" s="1015"/>
      <c r="F90" s="987"/>
      <c r="G90" s="987"/>
    </row>
    <row r="91" spans="1:7" s="988" customFormat="1" ht="12.75" customHeight="1">
      <c r="A91" s="615">
        <f>+A89+1</f>
        <v>61</v>
      </c>
      <c r="B91" s="973" t="str">
        <f>""&amp;C$91*100&amp;"% Series - "&amp;C$92&amp;" - Dividend Rate (p. 250-251)"</f>
        <v>0% Series - 0 - Dividend Rate (p. 250-251)</v>
      </c>
      <c r="C91" s="1010">
        <v>0</v>
      </c>
      <c r="D91" s="1010">
        <v>0</v>
      </c>
      <c r="E91" s="1015"/>
      <c r="F91" s="987"/>
      <c r="G91" s="987"/>
    </row>
    <row r="92" spans="1:7" s="988" customFormat="1" ht="12.75" customHeight="1">
      <c r="A92" s="615">
        <f>+A91+1</f>
        <v>62</v>
      </c>
      <c r="B92" s="973" t="str">
        <f>""&amp;C$91*100&amp;"% Series - "&amp;C$92&amp;" - Par Value (p. 250-251)"</f>
        <v>0% Series - 0 - Par Value (p. 250-251)</v>
      </c>
      <c r="C92" s="1011">
        <v>0</v>
      </c>
      <c r="D92" s="1011">
        <v>0</v>
      </c>
      <c r="E92" s="1015"/>
      <c r="F92" s="987"/>
      <c r="G92" s="987"/>
    </row>
    <row r="93" spans="1:7" s="988" customFormat="1" ht="12.75" customHeight="1">
      <c r="A93" s="615">
        <f>+A92+1</f>
        <v>63</v>
      </c>
      <c r="B93" s="973" t="str">
        <f>""&amp;C$91*100&amp;"% Series - "&amp;C$92&amp;" - Shares O/S (p.250-251) "</f>
        <v xml:space="preserve">0% Series - 0 - Shares O/S (p.250-251) </v>
      </c>
      <c r="C93" s="976">
        <v>0</v>
      </c>
      <c r="D93" s="976">
        <v>0</v>
      </c>
      <c r="E93" s="1015"/>
      <c r="F93" s="987"/>
      <c r="G93" s="987"/>
    </row>
    <row r="94" spans="1:7" s="988" customFormat="1" ht="12.75" customHeight="1">
      <c r="A94" s="615">
        <f>+A93+1</f>
        <v>64</v>
      </c>
      <c r="B94" s="973" t="str">
        <f>""&amp;C$91*100&amp;"% Series - "&amp;C$92&amp;" - Monetary Value (Ln "&amp;A92&amp;" * Ln "&amp;A93&amp;")"</f>
        <v>0% Series - 0 - Monetary Value (Ln 62 * Ln 63)</v>
      </c>
      <c r="C94" s="972">
        <f>+C93*C92</f>
        <v>0</v>
      </c>
      <c r="D94" s="972">
        <f>+D93*D92</f>
        <v>0</v>
      </c>
      <c r="E94" s="1014">
        <f>IF(C94=D94=0,0,AVERAGE(C94:D94))</f>
        <v>0</v>
      </c>
      <c r="F94" s="987"/>
      <c r="G94" s="987"/>
    </row>
    <row r="95" spans="1:7" s="988" customFormat="1" ht="12.75" customHeight="1">
      <c r="A95" s="615">
        <f>+A94+1</f>
        <v>65</v>
      </c>
      <c r="B95" s="973" t="str">
        <f>""&amp;C$91*100&amp;"% Series - "&amp;C$92&amp;" -  Dividend Amount (Ln "&amp;A91&amp;" * Ln "&amp;A94&amp;")"</f>
        <v>0% Series - 0 -  Dividend Amount (Ln 61 * Ln 64)</v>
      </c>
      <c r="C95" s="972">
        <f>+C94*C91</f>
        <v>0</v>
      </c>
      <c r="D95" s="972">
        <f>+D94*D91</f>
        <v>0</v>
      </c>
      <c r="E95" s="1014">
        <f>IF(C95=D95=0,0,AVERAGE(C95:D95))</f>
        <v>0</v>
      </c>
      <c r="F95" s="987"/>
      <c r="G95" s="987"/>
    </row>
    <row r="96" spans="1:7" s="988" customFormat="1" ht="12.75" customHeight="1">
      <c r="A96" s="615"/>
      <c r="B96" s="973"/>
      <c r="C96" s="972"/>
      <c r="D96" s="972"/>
      <c r="E96" s="1014"/>
      <c r="F96" s="987"/>
      <c r="G96" s="987"/>
    </row>
    <row r="97" spans="1:7" s="988" customFormat="1" ht="12.75" customHeight="1">
      <c r="A97" s="615">
        <f>+A95+1</f>
        <v>66</v>
      </c>
      <c r="B97" s="973" t="str">
        <f>""&amp;C$97*100&amp;"% Series - "&amp;C$98&amp;" - Dividend Rate (p. 250-251)"</f>
        <v>0% Series - 0 - Dividend Rate (p. 250-251)</v>
      </c>
      <c r="C97" s="1010">
        <v>0</v>
      </c>
      <c r="D97" s="1010">
        <v>0</v>
      </c>
      <c r="E97" s="1014"/>
      <c r="F97" s="987"/>
      <c r="G97" s="987"/>
    </row>
    <row r="98" spans="1:7" s="988" customFormat="1" ht="12.75" customHeight="1">
      <c r="A98" s="615">
        <f>+A97+1</f>
        <v>67</v>
      </c>
      <c r="B98" s="973" t="str">
        <f>""&amp;C$97*100&amp;"% Series - "&amp;C$98&amp;" - Par Value (p. 250-251)"</f>
        <v>0% Series - 0 - Par Value (p. 250-251)</v>
      </c>
      <c r="C98" s="1011">
        <v>0</v>
      </c>
      <c r="D98" s="1011">
        <v>0</v>
      </c>
      <c r="E98" s="1014"/>
      <c r="F98" s="987"/>
      <c r="G98" s="987"/>
    </row>
    <row r="99" spans="1:7" s="988" customFormat="1" ht="12.75" customHeight="1">
      <c r="A99" s="615">
        <f>+A98+1</f>
        <v>68</v>
      </c>
      <c r="B99" s="973" t="str">
        <f>""&amp;C$97*100&amp;"% Series - "&amp;C$98&amp;" - Shares O/S (p.250-251) "</f>
        <v xml:space="preserve">0% Series - 0 - Shares O/S (p.250-251) </v>
      </c>
      <c r="C99" s="976">
        <v>0</v>
      </c>
      <c r="D99" s="976">
        <v>0</v>
      </c>
      <c r="E99" s="1015"/>
      <c r="F99" s="987"/>
      <c r="G99" s="987"/>
    </row>
    <row r="100" spans="1:7" s="988" customFormat="1" ht="12.75" customHeight="1">
      <c r="A100" s="615">
        <f>+A99+1</f>
        <v>69</v>
      </c>
      <c r="B100" s="973" t="str">
        <f>""&amp;C$97*100&amp;"% Series - "&amp;C$98&amp;" - Monetary Value (Ln "&amp;A98&amp;" * Ln "&amp;A99&amp;")"</f>
        <v>0% Series - 0 - Monetary Value (Ln 67 * Ln 68)</v>
      </c>
      <c r="C100" s="972">
        <f>+C99*C98</f>
        <v>0</v>
      </c>
      <c r="D100" s="972">
        <f>+D99*D98</f>
        <v>0</v>
      </c>
      <c r="E100" s="1014">
        <f>IF(C100=D100=0,0,AVERAGE(C100:D100))</f>
        <v>0</v>
      </c>
      <c r="F100" s="987"/>
      <c r="G100" s="987"/>
    </row>
    <row r="101" spans="1:7" s="988" customFormat="1" ht="12.75" customHeight="1">
      <c r="A101" s="615">
        <f>+A100+1</f>
        <v>70</v>
      </c>
      <c r="B101" s="973" t="str">
        <f>""&amp;C$97*100&amp;"% Series - "&amp;C$98&amp;" -  Dividend Amount (Ln "&amp;A97&amp;" * Ln "&amp;A100&amp;")"</f>
        <v>0% Series - 0 -  Dividend Amount (Ln 66 * Ln 69)</v>
      </c>
      <c r="C101" s="972">
        <f>+C100*C97</f>
        <v>0</v>
      </c>
      <c r="D101" s="972">
        <f>+D100*D97</f>
        <v>0</v>
      </c>
      <c r="E101" s="1014">
        <f>IF(C101=D101=0,0,AVERAGE(C101:D101))</f>
        <v>0</v>
      </c>
      <c r="F101" s="987"/>
      <c r="G101" s="987"/>
    </row>
    <row r="102" spans="1:7" s="988" customFormat="1" ht="12.75" customHeight="1">
      <c r="A102" s="615"/>
      <c r="B102" s="973"/>
      <c r="C102" s="972"/>
      <c r="D102" s="972"/>
      <c r="E102" s="987"/>
      <c r="F102" s="987"/>
      <c r="G102" s="987"/>
    </row>
    <row r="103" spans="1:7" s="988" customFormat="1" ht="12.75" customHeight="1">
      <c r="A103" s="615">
        <f>+A101+1</f>
        <v>71</v>
      </c>
      <c r="B103" s="983" t="str">
        <f>"Balance of Preferred Stock (Lns "&amp;A88&amp;", "&amp;A94&amp;", "&amp;A100&amp;")"</f>
        <v>Balance of Preferred Stock (Lns 59, 64, 69)</v>
      </c>
      <c r="C103" s="972">
        <f>+C88+C94+C100</f>
        <v>0</v>
      </c>
      <c r="D103" s="972">
        <f>+D88+D94+D100</f>
        <v>0</v>
      </c>
      <c r="E103" s="1016">
        <f>+E88+E94+E100</f>
        <v>0</v>
      </c>
      <c r="F103" s="973" t="s">
        <v>314</v>
      </c>
      <c r="G103" s="987"/>
    </row>
    <row r="104" spans="1:7" s="988" customFormat="1" ht="12.75" customHeight="1" thickBot="1">
      <c r="A104" s="615">
        <f>+A103+1</f>
        <v>72</v>
      </c>
      <c r="B104" s="983" t="str">
        <f>"Dividends on Preferred Stock (Lns "&amp;A89&amp;", "&amp;A95&amp;", "&amp;A101&amp;")"</f>
        <v>Dividends on Preferred Stock (Lns 60, 65, 70)</v>
      </c>
      <c r="C104" s="1017">
        <f>+C95+C89+C101</f>
        <v>0</v>
      </c>
      <c r="D104" s="1017">
        <f>+D95+D89+D101</f>
        <v>0</v>
      </c>
      <c r="E104" s="1018">
        <f>+E101+E95+E89</f>
        <v>0</v>
      </c>
      <c r="F104" s="987"/>
      <c r="G104" s="987"/>
    </row>
    <row r="105" spans="1:7" s="988" customFormat="1" ht="12.75" customHeight="1" thickBot="1">
      <c r="A105" s="615">
        <f>+A104+1</f>
        <v>73</v>
      </c>
      <c r="B105" s="1019" t="str">
        <f>"Average Cost of Preferred Stock (Ln "&amp;A104&amp;"/"&amp;A103&amp;")"</f>
        <v>Average Cost of Preferred Stock (Ln 72/71)</v>
      </c>
      <c r="C105" s="980">
        <f>IF(C103=0,0,C104/C103)</f>
        <v>0</v>
      </c>
      <c r="D105" s="980">
        <f>IF(D103=0,0,D104/D103)</f>
        <v>0</v>
      </c>
      <c r="E105" s="985">
        <f>IF(E103=0,0,+E104/E103)</f>
        <v>0</v>
      </c>
      <c r="F105" s="987"/>
      <c r="G105" s="987"/>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&amp;L&amp;"Times New Roman,Bold Italic"&amp;12Privileged and Confidential
Subject to FERC Rules 602 and 606&amp;RPage &amp;P of &amp;N
</oddHeader>
  </headerFooter>
  <rowBreaks count="1" manualBreakCount="1">
    <brk id="4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U34"/>
  <sheetViews>
    <sheetView view="pageBreakPreview" zoomScale="80" zoomScaleNormal="100" zoomScaleSheetLayoutView="80" workbookViewId="0"/>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886" t="s">
        <v>115</v>
      </c>
    </row>
    <row r="2" spans="1:21" ht="15.75">
      <c r="A2" s="886" t="s">
        <v>115</v>
      </c>
    </row>
    <row r="3" spans="1:21" ht="18">
      <c r="A3" s="1597" t="s">
        <v>388</v>
      </c>
      <c r="B3" s="1597"/>
      <c r="C3" s="1597"/>
      <c r="D3" s="1597"/>
      <c r="E3" s="1597"/>
      <c r="F3" s="1597"/>
      <c r="G3" s="1597"/>
      <c r="H3" s="1597"/>
      <c r="I3" s="1597"/>
      <c r="J3" s="1597"/>
      <c r="K3" s="1597"/>
      <c r="L3" s="1597"/>
      <c r="M3" s="1597"/>
      <c r="N3" s="1597"/>
      <c r="O3" s="1597"/>
    </row>
    <row r="4" spans="1:21" ht="18">
      <c r="A4" s="1596" t="str">
        <f>"Cost of Service Formula Rate Using Actual/Projected FF1 Balances"</f>
        <v>Cost of Service Formula Rate Using Actual/Projected FF1 Balances</v>
      </c>
      <c r="B4" s="1596"/>
      <c r="C4" s="1596"/>
      <c r="D4" s="1596"/>
      <c r="E4" s="1596"/>
      <c r="F4" s="1596"/>
      <c r="G4" s="1596"/>
      <c r="H4" s="1596"/>
      <c r="I4" s="1596"/>
      <c r="J4" s="1596"/>
      <c r="K4" s="1596"/>
      <c r="L4" s="1596"/>
      <c r="M4" s="1596"/>
      <c r="N4" s="1596"/>
      <c r="O4" s="1596"/>
    </row>
    <row r="5" spans="1:21" ht="18">
      <c r="A5" s="1596" t="s">
        <v>240</v>
      </c>
      <c r="B5" s="1596"/>
      <c r="C5" s="1596"/>
      <c r="D5" s="1596"/>
      <c r="E5" s="1596"/>
      <c r="F5" s="1596"/>
      <c r="G5" s="1596"/>
      <c r="H5" s="1596"/>
      <c r="I5" s="1596"/>
      <c r="J5" s="1596"/>
      <c r="K5" s="1596"/>
      <c r="L5" s="1596"/>
      <c r="M5" s="1596"/>
      <c r="N5" s="1596"/>
      <c r="O5" s="1596"/>
    </row>
    <row r="6" spans="1:21" ht="18">
      <c r="A6" s="1591" t="str">
        <f>+TCOS!F9</f>
        <v xml:space="preserve">Indiana Michigan Power Company </v>
      </c>
      <c r="B6" s="1591"/>
      <c r="C6" s="1591"/>
      <c r="D6" s="1591"/>
      <c r="E6" s="1591"/>
      <c r="F6" s="1591"/>
      <c r="G6" s="1591"/>
      <c r="H6" s="1591"/>
      <c r="I6" s="1591"/>
      <c r="J6" s="1591"/>
      <c r="K6" s="1591"/>
      <c r="L6" s="1591"/>
      <c r="M6" s="1591"/>
      <c r="N6" s="1591"/>
      <c r="O6" s="1591"/>
    </row>
    <row r="7" spans="1:21" ht="12.75" customHeight="1">
      <c r="A7" s="169"/>
      <c r="B7" s="169"/>
      <c r="C7" s="169"/>
      <c r="D7" s="169"/>
      <c r="E7" s="169"/>
      <c r="F7" s="169"/>
      <c r="G7" s="169"/>
      <c r="H7" s="169"/>
      <c r="I7" s="169"/>
      <c r="J7" s="169"/>
      <c r="K7" s="169"/>
      <c r="L7" s="169"/>
    </row>
    <row r="8" spans="1:21" ht="12.75" customHeight="1">
      <c r="A8" s="1628" t="s">
        <v>391</v>
      </c>
      <c r="B8" s="1628"/>
      <c r="C8" s="1628"/>
      <c r="D8" s="1628"/>
      <c r="E8" s="1628"/>
      <c r="F8" s="1628"/>
      <c r="G8" s="1628"/>
      <c r="H8" s="1628"/>
      <c r="I8" s="1628"/>
      <c r="J8" s="1628"/>
      <c r="K8" s="1628"/>
      <c r="L8" s="1628"/>
      <c r="M8" s="1628"/>
      <c r="N8" s="1628"/>
      <c r="O8" s="1628"/>
    </row>
    <row r="9" spans="1:21" ht="12.75" customHeight="1">
      <c r="A9" s="1628"/>
      <c r="B9" s="1628"/>
      <c r="C9" s="1628"/>
      <c r="D9" s="1628"/>
      <c r="E9" s="1628"/>
      <c r="F9" s="1628"/>
      <c r="G9" s="1628"/>
      <c r="H9" s="1628"/>
      <c r="I9" s="1628"/>
      <c r="J9" s="1628"/>
      <c r="K9" s="1628"/>
      <c r="L9" s="1628"/>
      <c r="M9" s="1628"/>
      <c r="N9" s="1628"/>
      <c r="O9" s="1628"/>
    </row>
    <row r="10" spans="1:21">
      <c r="A10" s="1628"/>
      <c r="B10" s="1628"/>
      <c r="C10" s="1628"/>
      <c r="D10" s="1628"/>
      <c r="E10" s="1628"/>
      <c r="F10" s="1628"/>
      <c r="G10" s="1628"/>
      <c r="H10" s="1628"/>
      <c r="I10" s="1628"/>
      <c r="J10" s="1628"/>
      <c r="K10" s="1628"/>
      <c r="L10" s="1628"/>
      <c r="M10" s="1628"/>
      <c r="N10" s="1628"/>
      <c r="O10" s="1628"/>
    </row>
    <row r="11" spans="1:21">
      <c r="A11" s="1628"/>
      <c r="B11" s="1628"/>
      <c r="C11" s="1628"/>
      <c r="D11" s="1628"/>
      <c r="E11" s="1628"/>
      <c r="F11" s="1628"/>
      <c r="G11" s="1628"/>
      <c r="H11" s="1628"/>
      <c r="I11" s="1628"/>
      <c r="J11" s="1628"/>
      <c r="K11" s="1628"/>
      <c r="L11" s="1628"/>
      <c r="M11" s="1628"/>
      <c r="N11" s="1628"/>
      <c r="O11" s="1628"/>
    </row>
    <row r="12" spans="1:21">
      <c r="B12" s="1" t="s">
        <v>163</v>
      </c>
      <c r="C12" s="1"/>
      <c r="D12" s="1627" t="s">
        <v>164</v>
      </c>
      <c r="E12" s="1627"/>
      <c r="F12" s="1627"/>
      <c r="G12" s="1627"/>
      <c r="H12" s="1"/>
      <c r="I12" s="1" t="s">
        <v>4</v>
      </c>
      <c r="J12" s="1"/>
      <c r="K12" s="1" t="s">
        <v>166</v>
      </c>
      <c r="L12" s="1"/>
      <c r="M12" s="1" t="s">
        <v>85</v>
      </c>
      <c r="N12" s="1"/>
      <c r="O12" s="1" t="s">
        <v>86</v>
      </c>
      <c r="P12" s="1"/>
      <c r="Q12" s="1" t="s">
        <v>20</v>
      </c>
      <c r="R12" s="1"/>
      <c r="S12" s="1" t="s">
        <v>92</v>
      </c>
      <c r="T12" s="1"/>
      <c r="U12" s="104" t="s">
        <v>501</v>
      </c>
    </row>
    <row r="13" spans="1:21">
      <c r="I13" s="1624" t="s">
        <v>18</v>
      </c>
      <c r="Q13" s="1623" t="s">
        <v>19</v>
      </c>
      <c r="S13" s="1624" t="s">
        <v>21</v>
      </c>
      <c r="U13" s="305" t="s">
        <v>81</v>
      </c>
    </row>
    <row r="14" spans="1:21">
      <c r="A14" s="178" t="s">
        <v>17</v>
      </c>
      <c r="B14" s="178" t="s">
        <v>13</v>
      </c>
      <c r="C14" s="178"/>
      <c r="D14" s="222" t="s">
        <v>14</v>
      </c>
      <c r="E14" s="178"/>
      <c r="F14" s="178"/>
      <c r="G14" s="178"/>
      <c r="H14" s="178"/>
      <c r="I14" s="1626"/>
      <c r="J14" s="178"/>
      <c r="K14" s="178" t="s">
        <v>15</v>
      </c>
      <c r="L14" s="178"/>
      <c r="M14" s="178" t="s">
        <v>16</v>
      </c>
      <c r="N14" s="178"/>
      <c r="O14" s="178" t="s">
        <v>494</v>
      </c>
      <c r="Q14" s="1623"/>
      <c r="S14" s="1624"/>
      <c r="U14" s="305" t="s">
        <v>307</v>
      </c>
    </row>
    <row r="15" spans="1:21">
      <c r="A15" s="178"/>
      <c r="B15" s="178"/>
      <c r="C15" s="178"/>
      <c r="D15" s="222"/>
      <c r="E15" s="178"/>
      <c r="F15" s="178"/>
      <c r="G15" s="178"/>
      <c r="H15" s="178"/>
      <c r="I15" s="3" t="s">
        <v>492</v>
      </c>
      <c r="J15" s="178"/>
      <c r="K15" s="178"/>
      <c r="L15" s="178"/>
      <c r="M15" s="178"/>
      <c r="N15" s="178"/>
      <c r="O15" s="178"/>
      <c r="Q15" s="251"/>
      <c r="S15" s="178" t="s">
        <v>494</v>
      </c>
    </row>
    <row r="16" spans="1:21">
      <c r="I16" t="s">
        <v>493</v>
      </c>
    </row>
    <row r="17" spans="1:21">
      <c r="A17" s="1">
        <v>1</v>
      </c>
      <c r="B17" s="878"/>
      <c r="D17" s="1625"/>
      <c r="E17" s="1625"/>
      <c r="F17" s="1625"/>
      <c r="G17" s="1625"/>
      <c r="I17" s="879"/>
      <c r="K17" s="877"/>
      <c r="L17" s="141"/>
      <c r="M17" s="877"/>
      <c r="O17" s="187">
        <f>+K17-M17</f>
        <v>0</v>
      </c>
      <c r="Q17" s="237">
        <f>IF(I17="G",TCOS!L241,IF(I17="T",1,0))</f>
        <v>0</v>
      </c>
      <c r="S17" s="187">
        <f>ROUND(O17*Q17,0)</f>
        <v>0</v>
      </c>
      <c r="U17" s="880"/>
    </row>
    <row r="18" spans="1:21">
      <c r="A18" s="1"/>
      <c r="D18" s="1625"/>
      <c r="E18" s="1625"/>
      <c r="F18" s="1625"/>
      <c r="G18" s="1625"/>
      <c r="K18" s="141"/>
      <c r="L18" s="141"/>
      <c r="M18" s="141"/>
      <c r="O18" s="141"/>
      <c r="Q18" s="237"/>
      <c r="S18" s="141"/>
    </row>
    <row r="19" spans="1:21">
      <c r="A19" s="1"/>
      <c r="D19" s="1625"/>
      <c r="E19" s="1625"/>
      <c r="F19" s="1625"/>
      <c r="G19" s="1625"/>
      <c r="K19" s="141"/>
      <c r="L19" s="141"/>
      <c r="M19" s="141"/>
      <c r="O19" s="141"/>
      <c r="Q19" s="237"/>
      <c r="S19" s="141"/>
    </row>
    <row r="20" spans="1:21">
      <c r="A20" s="1"/>
      <c r="K20" s="141"/>
      <c r="L20" s="141"/>
      <c r="M20" s="141"/>
      <c r="O20" s="141"/>
      <c r="Q20" s="237"/>
      <c r="S20" s="141"/>
    </row>
    <row r="21" spans="1:21">
      <c r="A21" s="1"/>
      <c r="K21" s="141"/>
      <c r="L21" s="141"/>
      <c r="M21" s="141"/>
      <c r="O21" s="141"/>
      <c r="Q21" s="237"/>
      <c r="S21" s="141"/>
    </row>
    <row r="22" spans="1:21" ht="12" customHeight="1">
      <c r="A22" s="1">
        <f>+A17+1</f>
        <v>2</v>
      </c>
      <c r="B22" s="878"/>
      <c r="D22" s="1625"/>
      <c r="E22" s="1625"/>
      <c r="F22" s="1625"/>
      <c r="G22" s="1625"/>
      <c r="I22" s="879"/>
      <c r="K22" s="877"/>
      <c r="L22" s="141"/>
      <c r="M22" s="877"/>
      <c r="O22" s="187">
        <f>+K22-M22</f>
        <v>0</v>
      </c>
      <c r="Q22" s="237">
        <f>IF(I22="G",TCOS!L241,IF(I22="T",1,0))</f>
        <v>0</v>
      </c>
      <c r="S22" s="187">
        <f>ROUND(O22*Q22,0)</f>
        <v>0</v>
      </c>
      <c r="U22" s="880"/>
    </row>
    <row r="23" spans="1:21">
      <c r="A23" s="1"/>
      <c r="D23" s="1625"/>
      <c r="E23" s="1625"/>
      <c r="F23" s="1625"/>
      <c r="G23" s="1625"/>
      <c r="K23" s="141"/>
      <c r="L23" s="141"/>
      <c r="M23" s="141"/>
      <c r="O23" s="141"/>
      <c r="Q23" s="237"/>
      <c r="S23" s="141"/>
    </row>
    <row r="24" spans="1:21">
      <c r="A24" s="1"/>
      <c r="D24" s="1625"/>
      <c r="E24" s="1625"/>
      <c r="F24" s="1625"/>
      <c r="G24" s="1625"/>
      <c r="K24" s="141"/>
      <c r="L24" s="141"/>
      <c r="M24" s="141"/>
      <c r="O24" s="141"/>
      <c r="Q24" s="237"/>
      <c r="S24" s="141"/>
    </row>
    <row r="25" spans="1:21">
      <c r="A25" s="1"/>
      <c r="I25" s="1"/>
      <c r="K25" s="141"/>
      <c r="L25" s="141"/>
      <c r="M25" s="141"/>
      <c r="O25" s="141"/>
      <c r="Q25" s="237"/>
      <c r="S25" s="141"/>
    </row>
    <row r="26" spans="1:21">
      <c r="A26" s="1"/>
      <c r="I26" s="1"/>
      <c r="K26" s="141"/>
      <c r="L26" s="141"/>
      <c r="M26" s="141"/>
      <c r="O26" s="141"/>
      <c r="Q26" s="237"/>
      <c r="S26" s="141"/>
    </row>
    <row r="27" spans="1:21">
      <c r="A27" s="1">
        <f>+A22+1</f>
        <v>3</v>
      </c>
      <c r="B27" s="878"/>
      <c r="D27" s="1625"/>
      <c r="E27" s="1625"/>
      <c r="F27" s="1625"/>
      <c r="G27" s="1625"/>
      <c r="I27" s="879"/>
      <c r="K27" s="877"/>
      <c r="L27" s="141"/>
      <c r="M27" s="877"/>
      <c r="O27" s="187">
        <f>+K27-M27</f>
        <v>0</v>
      </c>
      <c r="Q27" s="237">
        <f>IF(I27="G",TCOS!L241,IF(I27="T",1,0))</f>
        <v>0</v>
      </c>
      <c r="S27" s="187">
        <f>ROUND(O27*Q27,0)</f>
        <v>0</v>
      </c>
      <c r="U27" s="880"/>
    </row>
    <row r="28" spans="1:21">
      <c r="A28" s="1"/>
      <c r="D28" s="1625"/>
      <c r="E28" s="1625"/>
      <c r="F28" s="1625"/>
      <c r="G28" s="1625"/>
      <c r="K28" s="141"/>
      <c r="L28" s="141"/>
      <c r="M28" s="141"/>
      <c r="O28" s="141"/>
      <c r="Q28" s="237"/>
      <c r="S28" s="141"/>
    </row>
    <row r="29" spans="1:21">
      <c r="A29" s="1"/>
      <c r="D29" s="1625"/>
      <c r="E29" s="1625"/>
      <c r="F29" s="1625"/>
      <c r="G29" s="1625"/>
      <c r="K29" s="141"/>
      <c r="L29" s="141"/>
      <c r="M29" s="141"/>
      <c r="O29" s="141"/>
      <c r="Q29" s="237"/>
    </row>
    <row r="30" spans="1:21">
      <c r="A30" s="1"/>
      <c r="O30" s="141"/>
      <c r="Q30" s="237"/>
    </row>
    <row r="31" spans="1:21">
      <c r="A31" s="1"/>
      <c r="O31" s="141"/>
      <c r="Q31" s="237"/>
    </row>
    <row r="32" spans="1:21">
      <c r="A32" s="1"/>
      <c r="O32" s="141"/>
      <c r="Q32" s="237"/>
    </row>
    <row r="33" spans="1:19" ht="13.5" thickBot="1">
      <c r="A33" s="1">
        <f>+A27+1</f>
        <v>4</v>
      </c>
      <c r="K33" t="str">
        <f>"Net (Gain) or Loss for "&amp;TCOS!L4&amp;""</f>
        <v>Net (Gain) or Loss for 2025</v>
      </c>
      <c r="O33" s="249">
        <f>SUM(O17:O27)</f>
        <v>0</v>
      </c>
      <c r="Q33" s="250"/>
      <c r="S33" s="249">
        <f>SUM(S17:S27)</f>
        <v>0</v>
      </c>
    </row>
    <row r="34" spans="1:19" ht="13.5" thickTop="1">
      <c r="A34" s="1"/>
      <c r="O34" s="141"/>
      <c r="Q34" s="250"/>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2"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V287"/>
  <sheetViews>
    <sheetView view="pageBreakPreview" topLeftCell="A7" zoomScaleNormal="75" zoomScaleSheetLayoutView="100" workbookViewId="0">
      <selection activeCell="D37" sqref="D37:J37"/>
    </sheetView>
  </sheetViews>
  <sheetFormatPr defaultRowHeight="12.75"/>
  <cols>
    <col min="1" max="1" width="8.140625" style="1155" customWidth="1"/>
    <col min="2" max="2" width="28.85546875" style="1155" customWidth="1"/>
    <col min="3" max="3" width="17.85546875" style="1155" customWidth="1"/>
    <col min="4" max="4" width="19.28515625" style="1155" customWidth="1"/>
    <col min="5" max="6" width="19.85546875" style="1155" customWidth="1"/>
    <col min="7" max="7" width="21.42578125" style="1155" customWidth="1"/>
    <col min="8" max="9" width="19.85546875" style="1155" customWidth="1"/>
    <col min="10" max="10" width="21.28515625" style="1155" customWidth="1"/>
    <col min="11" max="11" width="18.140625" style="1155" customWidth="1"/>
    <col min="12" max="12" width="22.42578125" style="1155" customWidth="1"/>
    <col min="13" max="13" width="22.140625" style="1155" customWidth="1"/>
    <col min="14" max="14" width="11.140625" style="1155" customWidth="1"/>
    <col min="15" max="15" width="11.28515625" style="1155" bestFit="1" customWidth="1"/>
    <col min="16" max="16" width="12.42578125" style="1155" customWidth="1"/>
    <col min="17" max="17" width="9.140625" style="1155"/>
    <col min="18" max="18" width="10.28515625" style="1155" bestFit="1" customWidth="1"/>
    <col min="19" max="19" width="9.140625" style="1155"/>
    <col min="20" max="20" width="12.85546875" style="1155" customWidth="1"/>
    <col min="21" max="21" width="13.5703125" style="1155" customWidth="1"/>
    <col min="22" max="16384" width="9.140625" style="1155"/>
  </cols>
  <sheetData>
    <row r="1" spans="1:17" ht="15.75">
      <c r="A1" s="1154" t="s">
        <v>115</v>
      </c>
    </row>
    <row r="2" spans="1:17" ht="15.75">
      <c r="A2" s="1154" t="s">
        <v>115</v>
      </c>
    </row>
    <row r="3" spans="1:17" ht="15.75">
      <c r="A3" s="1629" t="s">
        <v>388</v>
      </c>
      <c r="B3" s="1629"/>
      <c r="C3" s="1629"/>
      <c r="D3" s="1629"/>
      <c r="E3" s="1629"/>
      <c r="F3" s="1629"/>
      <c r="G3" s="1629"/>
      <c r="H3" s="1629"/>
      <c r="I3" s="1629"/>
      <c r="J3" s="1629"/>
      <c r="K3" s="1629"/>
      <c r="L3" s="1156"/>
      <c r="M3" s="1156"/>
      <c r="N3" s="1157"/>
      <c r="O3" s="1157"/>
      <c r="P3" s="1157"/>
      <c r="Q3" s="1157"/>
    </row>
    <row r="4" spans="1:17" ht="15.75">
      <c r="A4" s="1630" t="str">
        <f>"Cost of Service Formula Rate Using Actual/Projected FF1 Balances"</f>
        <v>Cost of Service Formula Rate Using Actual/Projected FF1 Balances</v>
      </c>
      <c r="B4" s="1631"/>
      <c r="C4" s="1631"/>
      <c r="D4" s="1631"/>
      <c r="E4" s="1631"/>
      <c r="F4" s="1631"/>
      <c r="G4" s="1631"/>
      <c r="H4" s="1631"/>
      <c r="I4" s="1631"/>
      <c r="J4" s="1631"/>
      <c r="K4" s="1631"/>
      <c r="L4" s="1158"/>
      <c r="M4" s="1160"/>
      <c r="N4" s="1161"/>
      <c r="O4" s="1161"/>
      <c r="P4" s="1161"/>
      <c r="Q4" s="1161"/>
    </row>
    <row r="5" spans="1:17" ht="15.75">
      <c r="A5" s="1632" t="s">
        <v>841</v>
      </c>
      <c r="B5" s="1632"/>
      <c r="C5" s="1632"/>
      <c r="D5" s="1632"/>
      <c r="E5" s="1632"/>
      <c r="F5" s="1632"/>
      <c r="G5" s="1632"/>
      <c r="H5" s="1632"/>
      <c r="I5" s="1632"/>
      <c r="J5" s="1632"/>
      <c r="K5" s="1632"/>
      <c r="L5" s="1158"/>
      <c r="M5" s="1162"/>
      <c r="N5" s="1162"/>
      <c r="O5" s="1162"/>
      <c r="P5" s="1162"/>
      <c r="Q5" s="1162"/>
    </row>
    <row r="6" spans="1:17" ht="15.75">
      <c r="A6" s="1633" t="str">
        <f>TCOS!F9</f>
        <v xml:space="preserve">Indiana Michigan Power Company </v>
      </c>
      <c r="B6" s="1633"/>
      <c r="C6" s="1633"/>
      <c r="D6" s="1633"/>
      <c r="E6" s="1633"/>
      <c r="F6" s="1633"/>
      <c r="G6" s="1633"/>
      <c r="H6" s="1633"/>
      <c r="I6" s="1633"/>
      <c r="J6" s="1633"/>
      <c r="K6" s="1633"/>
      <c r="L6" s="1163"/>
      <c r="M6" s="1163"/>
      <c r="N6" s="1164"/>
      <c r="O6" s="1164"/>
      <c r="P6" s="1164"/>
      <c r="Q6" s="1164"/>
    </row>
    <row r="9" spans="1:17">
      <c r="B9" s="1634"/>
      <c r="C9" s="1634"/>
      <c r="D9" s="1634"/>
      <c r="E9" s="1634"/>
      <c r="F9" s="1634"/>
      <c r="G9" s="1634"/>
      <c r="H9" s="1634"/>
      <c r="I9" s="1634"/>
      <c r="J9" s="1634"/>
      <c r="K9" s="1634"/>
      <c r="L9" s="1634"/>
      <c r="M9" s="1634"/>
      <c r="N9" s="1166"/>
      <c r="O9" s="1166"/>
      <c r="P9" s="1166"/>
      <c r="Q9" s="1166"/>
    </row>
    <row r="10" spans="1:17">
      <c r="I10" s="1166"/>
      <c r="J10" s="1166"/>
      <c r="K10" s="1166"/>
      <c r="L10" s="1166"/>
      <c r="M10" s="1166"/>
      <c r="N10" s="1166"/>
      <c r="O10" s="1166"/>
      <c r="P10" s="1166"/>
      <c r="Q10" s="1166"/>
    </row>
    <row r="11" spans="1:17">
      <c r="I11" s="1166"/>
      <c r="J11" s="1166"/>
      <c r="K11" s="1166"/>
      <c r="L11" s="1166"/>
      <c r="M11" s="1166"/>
      <c r="N11" s="1166"/>
      <c r="O11" s="1166"/>
      <c r="P11" s="1166"/>
      <c r="Q11" s="1166"/>
    </row>
    <row r="12" spans="1:17">
      <c r="A12" s="1159">
        <v>1</v>
      </c>
      <c r="B12" s="1155" t="s">
        <v>815</v>
      </c>
      <c r="E12" s="1198">
        <v>52287952</v>
      </c>
      <c r="I12" s="1178"/>
      <c r="J12" s="1166"/>
      <c r="K12" s="1166"/>
      <c r="L12" s="1166"/>
      <c r="M12" s="1166"/>
      <c r="N12" s="1166"/>
      <c r="O12" s="1166"/>
      <c r="P12" s="1166"/>
      <c r="Q12" s="1166"/>
    </row>
    <row r="13" spans="1:17">
      <c r="I13" s="1178"/>
      <c r="J13" s="1166"/>
      <c r="K13" s="1166"/>
      <c r="L13" s="1166"/>
      <c r="M13" s="1166"/>
      <c r="N13" s="1166"/>
      <c r="O13" s="1166"/>
      <c r="P13" s="1166"/>
      <c r="Q13" s="1166"/>
    </row>
    <row r="14" spans="1:17">
      <c r="B14" s="1635" t="str">
        <f>"Allocation of PBOP Settlement Amount for "&amp;TCOS!L4&amp;""</f>
        <v>Allocation of PBOP Settlement Amount for 2025</v>
      </c>
      <c r="C14" s="1635"/>
      <c r="D14" s="1167"/>
      <c r="E14" s="1167"/>
      <c r="F14" s="1167"/>
      <c r="G14" s="1167"/>
      <c r="H14" s="1167"/>
      <c r="I14" s="1167"/>
      <c r="J14" s="1167"/>
      <c r="K14" s="1167"/>
      <c r="L14" s="1167"/>
      <c r="M14" s="1167"/>
      <c r="N14" s="1166"/>
      <c r="O14" s="1166"/>
      <c r="P14" s="1166"/>
      <c r="Q14" s="1166"/>
    </row>
    <row r="15" spans="1:17">
      <c r="C15" s="1634" t="s">
        <v>816</v>
      </c>
      <c r="D15" s="1634"/>
      <c r="E15" s="1634"/>
      <c r="F15" s="1165"/>
      <c r="N15" s="1166"/>
      <c r="O15" s="1166"/>
      <c r="P15" s="1166"/>
      <c r="Q15" s="1166"/>
    </row>
    <row r="16" spans="1:17">
      <c r="B16" s="1178"/>
      <c r="C16" s="1638" t="s">
        <v>817</v>
      </c>
      <c r="D16" s="1638" t="s">
        <v>818</v>
      </c>
      <c r="E16" s="1638" t="s">
        <v>819</v>
      </c>
      <c r="F16" s="1194"/>
      <c r="G16" s="1194"/>
      <c r="H16" s="1194"/>
      <c r="I16" s="1638" t="s">
        <v>820</v>
      </c>
      <c r="N16" s="1166"/>
      <c r="O16" s="1166"/>
      <c r="P16" s="1166"/>
      <c r="Q16" s="1166"/>
    </row>
    <row r="17" spans="1:17" ht="12.75" customHeight="1">
      <c r="C17" s="1636"/>
      <c r="D17" s="1636"/>
      <c r="E17" s="1636"/>
      <c r="F17" s="1638" t="str">
        <f>"Labor Allocator for "&amp;TCOS!L4&amp;""</f>
        <v>Labor Allocator for 2025</v>
      </c>
      <c r="G17" s="1197"/>
      <c r="H17" s="1639" t="s">
        <v>821</v>
      </c>
      <c r="I17" s="1638"/>
      <c r="N17" s="1166"/>
      <c r="O17" s="1166"/>
      <c r="P17" s="1166"/>
      <c r="Q17" s="1166"/>
    </row>
    <row r="18" spans="1:17">
      <c r="A18" s="1168" t="s">
        <v>822</v>
      </c>
      <c r="B18" s="1165" t="s">
        <v>184</v>
      </c>
      <c r="C18" s="1636"/>
      <c r="D18" s="1636"/>
      <c r="E18" s="1636"/>
      <c r="F18" s="1638"/>
      <c r="G18" s="1200" t="s">
        <v>823</v>
      </c>
      <c r="H18" s="1639"/>
      <c r="I18" s="1638"/>
      <c r="N18" s="1166"/>
      <c r="O18" s="1166"/>
      <c r="P18" s="1166"/>
      <c r="Q18" s="1166"/>
    </row>
    <row r="19" spans="1:17">
      <c r="B19" s="1165"/>
      <c r="C19" s="1177"/>
      <c r="D19" s="1177"/>
      <c r="E19" s="1177"/>
      <c r="F19" s="1194"/>
      <c r="G19" s="1197"/>
      <c r="H19" s="1197"/>
      <c r="I19" s="1177"/>
      <c r="N19" s="1166"/>
      <c r="O19" s="1166"/>
      <c r="P19" s="1166"/>
      <c r="Q19" s="1166"/>
    </row>
    <row r="20" spans="1:17">
      <c r="B20" s="1165"/>
      <c r="C20" s="1194" t="s">
        <v>163</v>
      </c>
      <c r="D20" s="1194" t="s">
        <v>824</v>
      </c>
      <c r="E20" s="1195" t="str">
        <f>"(C )=(B) * "&amp;E12&amp;""</f>
        <v>(C )=(B) * 52287952</v>
      </c>
      <c r="F20" s="1194" t="s">
        <v>166</v>
      </c>
      <c r="G20" s="1201" t="s">
        <v>825</v>
      </c>
      <c r="H20" s="1201" t="s">
        <v>826</v>
      </c>
      <c r="I20" s="1195" t="s">
        <v>827</v>
      </c>
      <c r="N20" s="1166"/>
      <c r="O20" s="1166"/>
      <c r="P20" s="1166"/>
      <c r="Q20" s="1166"/>
    </row>
    <row r="21" spans="1:17">
      <c r="B21" s="1165"/>
      <c r="C21" s="1194" t="str">
        <f>"(Line "&amp;A47&amp;")"</f>
        <v>(Line 14)</v>
      </c>
      <c r="D21" s="1194"/>
      <c r="E21" s="1195"/>
      <c r="F21" s="1194"/>
      <c r="G21" s="1197"/>
      <c r="H21" s="1199"/>
      <c r="I21" s="1195"/>
      <c r="N21" s="1166"/>
      <c r="O21" s="1166"/>
      <c r="P21" s="1166"/>
      <c r="Q21" s="1166"/>
    </row>
    <row r="22" spans="1:17">
      <c r="A22" s="1155">
        <v>2</v>
      </c>
      <c r="B22" s="1155" t="s">
        <v>828</v>
      </c>
      <c r="C22" s="1252">
        <v>-20506772.931095678</v>
      </c>
      <c r="D22" s="1318">
        <f t="shared" ref="D22:D27" si="0">+C22/C$28</f>
        <v>0.35768657117617869</v>
      </c>
      <c r="E22" s="1176">
        <f t="shared" ref="E22:E27" si="1">ROUND(D22*E$28,0)</f>
        <v>18702698</v>
      </c>
      <c r="F22" s="1254">
        <v>9.6803644098242159E-2</v>
      </c>
      <c r="G22" s="1319">
        <f t="shared" ref="G22:G27" si="2">+C22*F22</f>
        <v>-1985130.3484252521</v>
      </c>
      <c r="H22" s="1319">
        <f t="shared" ref="H22:H27" si="3">+F22*E22</f>
        <v>1810489.3208689054</v>
      </c>
      <c r="I22" s="1176">
        <f t="shared" ref="I22:I27" si="4">+G22-H22</f>
        <v>-3795619.6692941575</v>
      </c>
      <c r="N22" s="1166"/>
      <c r="O22" s="1166"/>
      <c r="P22" s="1166"/>
      <c r="Q22" s="1166"/>
    </row>
    <row r="23" spans="1:17">
      <c r="A23" s="1155">
        <f t="shared" ref="A23:A28" si="5">+A22+1</f>
        <v>3</v>
      </c>
      <c r="B23" s="1155" t="s">
        <v>829</v>
      </c>
      <c r="C23" s="1252">
        <v>-15071822.292711608</v>
      </c>
      <c r="D23" s="1318">
        <f t="shared" si="0"/>
        <v>0.26288819090994181</v>
      </c>
      <c r="E23" s="1176">
        <f t="shared" si="1"/>
        <v>13745885</v>
      </c>
      <c r="F23" s="1254">
        <v>4.9424391532618656E-2</v>
      </c>
      <c r="G23" s="1319">
        <f t="shared" si="2"/>
        <v>-744915.64610502869</v>
      </c>
      <c r="H23" s="1319">
        <f t="shared" si="3"/>
        <v>679382.00220234983</v>
      </c>
      <c r="I23" s="1176">
        <f t="shared" si="4"/>
        <v>-1424297.6483073784</v>
      </c>
      <c r="N23" s="1166"/>
      <c r="O23" s="1166"/>
      <c r="P23" s="1166"/>
      <c r="Q23" s="1166"/>
    </row>
    <row r="24" spans="1:17">
      <c r="A24" s="1155">
        <f t="shared" si="5"/>
        <v>4</v>
      </c>
      <c r="B24" s="1155" t="s">
        <v>830</v>
      </c>
      <c r="C24" s="1252">
        <v>-4397139.7776311738</v>
      </c>
      <c r="D24" s="1318">
        <f t="shared" si="0"/>
        <v>7.6696506823769897E-2</v>
      </c>
      <c r="E24" s="1176">
        <f t="shared" si="1"/>
        <v>4010303</v>
      </c>
      <c r="F24" s="1254">
        <v>0.11455561566774146</v>
      </c>
      <c r="G24" s="1319">
        <f t="shared" si="2"/>
        <v>-503717.05440365488</v>
      </c>
      <c r="H24" s="1319">
        <f t="shared" si="3"/>
        <v>459402.72917919059</v>
      </c>
      <c r="I24" s="1176">
        <f t="shared" si="4"/>
        <v>-963119.78358284547</v>
      </c>
      <c r="N24" s="1166"/>
      <c r="O24" s="1166"/>
      <c r="P24" s="1166"/>
      <c r="Q24" s="1166"/>
    </row>
    <row r="25" spans="1:17">
      <c r="A25" s="1155">
        <f t="shared" si="5"/>
        <v>5</v>
      </c>
      <c r="B25" s="1155" t="s">
        <v>831</v>
      </c>
      <c r="C25" s="1252">
        <v>-505575.93110562983</v>
      </c>
      <c r="D25" s="1318">
        <f t="shared" si="0"/>
        <v>8.8184387604039512E-3</v>
      </c>
      <c r="E25" s="1176">
        <f t="shared" si="1"/>
        <v>461098</v>
      </c>
      <c r="F25" s="1254">
        <v>7.6201393785219229E-2</v>
      </c>
      <c r="G25" s="1319">
        <f t="shared" si="2"/>
        <v>-38525.590614508968</v>
      </c>
      <c r="H25" s="1319">
        <f t="shared" si="3"/>
        <v>35136.310271577015</v>
      </c>
      <c r="I25" s="1176">
        <f t="shared" si="4"/>
        <v>-73661.90088608599</v>
      </c>
      <c r="N25" s="1166"/>
      <c r="O25" s="1166"/>
      <c r="P25" s="1166"/>
      <c r="Q25" s="1166"/>
    </row>
    <row r="26" spans="1:17">
      <c r="A26" s="1155">
        <f t="shared" si="5"/>
        <v>6</v>
      </c>
      <c r="B26" s="1155" t="s">
        <v>832</v>
      </c>
      <c r="C26" s="1252">
        <v>-15429575.33965099</v>
      </c>
      <c r="D26" s="1318">
        <f t="shared" si="0"/>
        <v>0.26912824931003942</v>
      </c>
      <c r="E26" s="1176">
        <f t="shared" si="1"/>
        <v>14072165</v>
      </c>
      <c r="F26" s="1254">
        <v>0.11258299774465039</v>
      </c>
      <c r="G26" s="1319">
        <f t="shared" si="2"/>
        <v>-1737107.8456648407</v>
      </c>
      <c r="H26" s="1319">
        <f t="shared" si="3"/>
        <v>1584286.5204573481</v>
      </c>
      <c r="I26" s="1176">
        <f t="shared" si="4"/>
        <v>-3321394.366122189</v>
      </c>
      <c r="N26" s="1166"/>
      <c r="O26" s="1166"/>
      <c r="P26" s="1166"/>
      <c r="Q26" s="1166"/>
    </row>
    <row r="27" spans="1:17">
      <c r="A27" s="1155">
        <f t="shared" si="5"/>
        <v>7</v>
      </c>
      <c r="B27" s="1155" t="s">
        <v>833</v>
      </c>
      <c r="C27" s="1253">
        <v>-1420796.2219600007</v>
      </c>
      <c r="D27" s="1318">
        <f t="shared" si="0"/>
        <v>2.4782043019666303E-2</v>
      </c>
      <c r="E27" s="1202">
        <f t="shared" si="1"/>
        <v>1295802</v>
      </c>
      <c r="F27" s="1320">
        <v>2.8557048876979126E-2</v>
      </c>
      <c r="G27" s="1321">
        <f t="shared" si="2"/>
        <v>-40573.747154739023</v>
      </c>
      <c r="H27" s="1321">
        <f t="shared" si="3"/>
        <v>37004.281048887307</v>
      </c>
      <c r="I27" s="1202">
        <f t="shared" si="4"/>
        <v>-77578.028203626338</v>
      </c>
      <c r="N27" s="1166"/>
      <c r="O27" s="1166"/>
      <c r="P27" s="1166"/>
      <c r="Q27" s="1166"/>
    </row>
    <row r="28" spans="1:17">
      <c r="A28" s="1155">
        <f t="shared" si="5"/>
        <v>8</v>
      </c>
      <c r="B28" s="1165" t="str">
        <f>"Sum of Lines "&amp;A22&amp;" to "&amp;A27&amp;""</f>
        <v>Sum of Lines 2 to 7</v>
      </c>
      <c r="C28" s="1176">
        <f>SUM(C22:C27)</f>
        <v>-57331682.494155079</v>
      </c>
      <c r="E28" s="1197">
        <f>+E12</f>
        <v>52287952</v>
      </c>
      <c r="F28" s="1197"/>
      <c r="G28" s="1197">
        <f>SUM(G22:G27)</f>
        <v>-5049970.2323680241</v>
      </c>
      <c r="H28" s="1197">
        <f>SUM(H22:H27)</f>
        <v>4605701.1640282581</v>
      </c>
      <c r="I28" s="1197">
        <f>SUM(I22:I27)</f>
        <v>-9655671.3963962831</v>
      </c>
      <c r="N28" s="1166"/>
      <c r="O28" s="1166"/>
      <c r="P28" s="1166"/>
      <c r="Q28" s="1166"/>
    </row>
    <row r="29" spans="1:17">
      <c r="C29" s="1176"/>
      <c r="N29" s="1166"/>
      <c r="O29" s="1166"/>
      <c r="P29" s="1166"/>
      <c r="Q29" s="1166"/>
    </row>
    <row r="30" spans="1:17">
      <c r="I30" s="1178"/>
      <c r="N30" s="1166"/>
      <c r="O30" s="1166"/>
      <c r="P30" s="1166"/>
      <c r="Q30" s="1166"/>
    </row>
    <row r="31" spans="1:17">
      <c r="I31" s="1178"/>
      <c r="J31" s="1166"/>
      <c r="K31" s="1166"/>
      <c r="L31" s="1166"/>
      <c r="M31" s="1166"/>
      <c r="N31" s="1166"/>
      <c r="O31" s="1166"/>
      <c r="P31" s="1166"/>
      <c r="Q31" s="1166"/>
    </row>
    <row r="32" spans="1:17">
      <c r="I32" s="1178"/>
      <c r="J32" s="1166"/>
      <c r="K32" s="1166"/>
      <c r="L32" s="1166"/>
      <c r="M32" s="1166"/>
      <c r="N32" s="1166"/>
      <c r="O32" s="1166"/>
      <c r="P32" s="1166"/>
      <c r="Q32" s="1166"/>
    </row>
    <row r="33" spans="1:17">
      <c r="B33" s="1168" t="s">
        <v>842</v>
      </c>
      <c r="F33" s="1169"/>
      <c r="I33" s="1178"/>
      <c r="J33" s="1166"/>
      <c r="K33" s="1166"/>
      <c r="L33" s="1166"/>
      <c r="M33" s="1166"/>
      <c r="N33" s="1166"/>
      <c r="O33" s="1166"/>
      <c r="P33" s="1166"/>
      <c r="Q33" s="1166"/>
    </row>
    <row r="34" spans="1:17">
      <c r="E34" s="1169"/>
      <c r="I34" s="1170"/>
      <c r="J34" s="1166"/>
      <c r="K34" s="1166"/>
      <c r="L34" s="1166"/>
      <c r="M34" s="1166"/>
      <c r="N34" s="1166"/>
      <c r="O34" s="1166"/>
      <c r="P34" s="1166"/>
      <c r="Q34" s="1166"/>
    </row>
    <row r="35" spans="1:17">
      <c r="D35" s="1171" t="s">
        <v>828</v>
      </c>
      <c r="E35" s="1172"/>
      <c r="F35" s="1171" t="s">
        <v>829</v>
      </c>
      <c r="G35" s="1171" t="s">
        <v>830</v>
      </c>
      <c r="H35" s="1171" t="s">
        <v>834</v>
      </c>
      <c r="I35" s="1173" t="s">
        <v>832</v>
      </c>
      <c r="J35" s="1173" t="s">
        <v>833</v>
      </c>
      <c r="K35" s="1173" t="s">
        <v>835</v>
      </c>
      <c r="L35" s="1166"/>
      <c r="M35" s="1166"/>
      <c r="N35" s="1166"/>
      <c r="O35" s="1166"/>
      <c r="P35" s="1166"/>
      <c r="Q35" s="1166"/>
    </row>
    <row r="36" spans="1:17">
      <c r="E36" s="1174"/>
      <c r="I36" s="1166"/>
      <c r="J36" s="1166"/>
      <c r="K36" s="1166"/>
      <c r="L36" s="1166"/>
      <c r="M36" s="1166"/>
      <c r="N36" s="1166"/>
      <c r="O36" s="1166"/>
      <c r="P36" s="1166"/>
      <c r="Q36" s="1166"/>
    </row>
    <row r="37" spans="1:17">
      <c r="A37" s="1155">
        <f>+A28+1</f>
        <v>9</v>
      </c>
      <c r="B37" s="1155" t="s">
        <v>836</v>
      </c>
      <c r="D37" s="1245">
        <v>-9219000</v>
      </c>
      <c r="E37" s="1345"/>
      <c r="F37" s="1245">
        <v>-7593000</v>
      </c>
      <c r="G37" s="1245">
        <v>-1830000</v>
      </c>
      <c r="H37" s="1245">
        <v>-222000</v>
      </c>
      <c r="I37" s="1245">
        <v>-6691000</v>
      </c>
      <c r="J37" s="1245">
        <v>-829000</v>
      </c>
      <c r="K37" s="1175">
        <f>SUM(D37:J37)</f>
        <v>-26384000</v>
      </c>
      <c r="L37" s="1166" t="s">
        <v>115</v>
      </c>
      <c r="M37" s="1166"/>
      <c r="N37" s="1166"/>
      <c r="O37" s="1166"/>
      <c r="P37" s="1166"/>
      <c r="Q37" s="1166"/>
    </row>
    <row r="38" spans="1:17">
      <c r="D38" s="1176"/>
      <c r="E38" s="1174"/>
      <c r="F38" s="1176"/>
      <c r="G38" s="1176"/>
      <c r="H38" s="1176"/>
      <c r="I38" s="1176"/>
      <c r="J38" s="1176"/>
    </row>
    <row r="39" spans="1:17">
      <c r="A39" s="1155">
        <f>+A37+1</f>
        <v>10</v>
      </c>
      <c r="B39" s="1636" t="s">
        <v>837</v>
      </c>
      <c r="C39" s="1636"/>
      <c r="D39" s="1245">
        <v>564492.73000000417</v>
      </c>
      <c r="E39" s="1244"/>
      <c r="F39" s="1245">
        <v>1952089.9399999995</v>
      </c>
      <c r="G39" s="1245">
        <v>-394160.57999999868</v>
      </c>
      <c r="H39" s="1245">
        <v>-5.9999999823048711E-2</v>
      </c>
      <c r="I39" s="1245">
        <v>-8.9999997988343239E-2</v>
      </c>
      <c r="J39" s="1245">
        <v>394160.549999999</v>
      </c>
      <c r="K39" s="1175"/>
      <c r="L39" s="1166"/>
      <c r="M39" s="1166"/>
      <c r="N39" s="1166"/>
      <c r="O39" s="1166"/>
      <c r="P39" s="1166"/>
      <c r="Q39" s="1166"/>
    </row>
    <row r="40" spans="1:17">
      <c r="B40" s="1636"/>
      <c r="C40" s="1636"/>
      <c r="D40" s="1169"/>
      <c r="E40" s="1174"/>
      <c r="F40" s="1169"/>
      <c r="G40" s="1169"/>
      <c r="H40" s="1169"/>
      <c r="I40" s="1169"/>
      <c r="J40" s="1169"/>
      <c r="K40" s="1178"/>
      <c r="L40" s="1166"/>
      <c r="M40" s="1166"/>
      <c r="N40" s="1166"/>
      <c r="O40" s="1166"/>
      <c r="P40" s="1166"/>
      <c r="Q40" s="1166"/>
    </row>
    <row r="41" spans="1:17">
      <c r="A41" s="1155">
        <f>+A39+1</f>
        <v>11</v>
      </c>
      <c r="B41" s="1155" t="s">
        <v>838</v>
      </c>
      <c r="D41" s="1245">
        <v>0</v>
      </c>
      <c r="E41" s="1244"/>
      <c r="F41" s="1245">
        <v>0</v>
      </c>
      <c r="G41" s="1245">
        <v>0</v>
      </c>
      <c r="H41" s="1245">
        <v>0</v>
      </c>
      <c r="I41" s="1245">
        <v>0</v>
      </c>
      <c r="J41" s="1245">
        <v>0</v>
      </c>
      <c r="K41" s="1175">
        <f>SUM(D41:J41)</f>
        <v>0</v>
      </c>
      <c r="L41" s="1166"/>
      <c r="M41" s="1166"/>
      <c r="N41" s="1166"/>
      <c r="O41" s="1166"/>
      <c r="P41" s="1166"/>
      <c r="Q41" s="1166"/>
    </row>
    <row r="42" spans="1:17">
      <c r="D42" s="1179"/>
      <c r="E42" s="1180"/>
      <c r="F42" s="1179"/>
      <c r="G42" s="1179"/>
      <c r="H42" s="1179"/>
      <c r="I42" s="1181"/>
      <c r="J42" s="1181"/>
      <c r="K42" s="1182"/>
      <c r="L42" s="1166"/>
      <c r="M42" s="1166"/>
      <c r="N42" s="1166"/>
      <c r="O42" s="1166"/>
      <c r="P42" s="1166"/>
      <c r="Q42" s="1166"/>
    </row>
    <row r="43" spans="1:17">
      <c r="A43" s="1155">
        <f>+A41+1</f>
        <v>12</v>
      </c>
      <c r="B43" s="1155" t="str">
        <f>"Net Company Expense (Ln "&amp;A37&amp;" + Ln "&amp;A39&amp;" + Ln  "&amp;A41&amp;")"</f>
        <v>Net Company Expense (Ln 9 + Ln 10 + Ln  11)</v>
      </c>
      <c r="D43" s="1169">
        <f t="shared" ref="D43:J43" si="6">+D37+D41+D39</f>
        <v>-8654507.2699999958</v>
      </c>
      <c r="E43" s="1183"/>
      <c r="F43" s="1169">
        <f t="shared" si="6"/>
        <v>-5640910.0600000005</v>
      </c>
      <c r="G43" s="1169">
        <f t="shared" si="6"/>
        <v>-2224160.5799999987</v>
      </c>
      <c r="H43" s="1169">
        <f t="shared" si="6"/>
        <v>-222000.05999999982</v>
      </c>
      <c r="I43" s="1169">
        <f t="shared" si="6"/>
        <v>-6691000.089999998</v>
      </c>
      <c r="J43" s="1169">
        <f t="shared" si="6"/>
        <v>-434839.450000001</v>
      </c>
      <c r="K43" s="1175">
        <f>SUM(D43:J43)</f>
        <v>-23867417.509999994</v>
      </c>
      <c r="L43" s="1166"/>
      <c r="M43" s="1166"/>
      <c r="N43" s="1166"/>
      <c r="O43" s="1166"/>
      <c r="P43" s="1166"/>
      <c r="Q43" s="1166"/>
    </row>
    <row r="44" spans="1:17">
      <c r="E44" s="1174"/>
      <c r="G44" s="1169">
        <f>+G40+G42</f>
        <v>0</v>
      </c>
      <c r="I44" s="1166"/>
      <c r="J44" s="1166"/>
      <c r="K44" s="1178"/>
      <c r="L44" s="1184"/>
      <c r="M44" s="1166"/>
      <c r="N44" s="1166"/>
      <c r="O44" s="1166"/>
      <c r="P44" s="1166"/>
      <c r="Q44" s="1166"/>
    </row>
    <row r="45" spans="1:17">
      <c r="A45" s="1155">
        <f>+A43+1</f>
        <v>13</v>
      </c>
      <c r="B45" s="1636" t="s">
        <v>839</v>
      </c>
      <c r="C45" s="1636"/>
      <c r="D45" s="1245">
        <v>-5031099.6610956816</v>
      </c>
      <c r="E45" s="1244"/>
      <c r="F45" s="1245">
        <v>-2751091.2327116085</v>
      </c>
      <c r="G45" s="1245">
        <v>-721221.19763117528</v>
      </c>
      <c r="H45" s="1245">
        <v>-146612.87110563001</v>
      </c>
      <c r="I45" s="1245">
        <v>-4092401.249650992</v>
      </c>
      <c r="J45" s="1245">
        <v>-594858.77195999969</v>
      </c>
      <c r="K45" s="1175">
        <f>SUM(D45:J45)</f>
        <v>-13337284.984155087</v>
      </c>
      <c r="L45" s="1185" t="s">
        <v>115</v>
      </c>
      <c r="M45" s="1166"/>
      <c r="N45" s="1166"/>
      <c r="O45" s="1166"/>
      <c r="P45" s="1166"/>
      <c r="Q45" s="1166"/>
    </row>
    <row r="46" spans="1:17">
      <c r="B46" s="1636"/>
      <c r="C46" s="1636"/>
      <c r="D46" s="1186"/>
      <c r="E46" s="1174"/>
      <c r="I46" s="1166"/>
      <c r="J46" s="1166"/>
      <c r="K46" s="1178"/>
      <c r="L46" s="1166"/>
      <c r="M46" s="1166"/>
      <c r="N46" s="1166"/>
      <c r="O46" s="1166"/>
      <c r="P46" s="1166"/>
      <c r="Q46" s="1166"/>
    </row>
    <row r="47" spans="1:17" ht="13.5" thickBot="1">
      <c r="A47" s="1155">
        <f>+A45+1</f>
        <v>14</v>
      </c>
      <c r="B47" s="1155" t="str">
        <f>"Company PBOP Expense (Ln "&amp;A43&amp;" + Ln  "&amp;A45&amp;")"</f>
        <v>Company PBOP Expense (Ln 12 + Ln  13)</v>
      </c>
      <c r="D47" s="1187">
        <f>+D45+D41+D39+D37</f>
        <v>-13685606.931095678</v>
      </c>
      <c r="E47" s="1188"/>
      <c r="F47" s="1187">
        <f>+F45+F41+F39+F37</f>
        <v>-8392001.2927116081</v>
      </c>
      <c r="G47" s="1187">
        <f>+G45+G41+G39+G37</f>
        <v>-2945381.7776311738</v>
      </c>
      <c r="H47" s="1187">
        <f>+H45+H41+H39+H37</f>
        <v>-368612.93110562983</v>
      </c>
      <c r="I47" s="1187">
        <f>+I45+I41+I39+I37</f>
        <v>-10783401.33965099</v>
      </c>
      <c r="J47" s="1187">
        <f>+J45+J41+J39+J37</f>
        <v>-1029698.2219600007</v>
      </c>
      <c r="K47" s="1189">
        <f>SUM(D47:J47)</f>
        <v>-37204702.494155079</v>
      </c>
      <c r="L47" s="1166"/>
      <c r="M47" s="1166"/>
      <c r="N47" s="1166"/>
      <c r="O47" s="1166"/>
      <c r="P47" s="1166"/>
      <c r="Q47" s="1166"/>
    </row>
    <row r="48" spans="1:17" ht="13.5" thickTop="1">
      <c r="I48" s="1166"/>
      <c r="J48" s="1166"/>
      <c r="K48" s="1166"/>
      <c r="L48" s="1166"/>
      <c r="M48" s="1166"/>
      <c r="N48" s="1166"/>
      <c r="O48" s="1166"/>
      <c r="P48" s="1166"/>
      <c r="Q48" s="1166"/>
    </row>
    <row r="49" spans="1:19">
      <c r="A49" s="1637" t="s">
        <v>840</v>
      </c>
      <c r="B49" s="1637"/>
      <c r="C49" s="1637"/>
      <c r="D49" s="1637"/>
      <c r="E49" s="1637"/>
      <c r="F49" s="1637"/>
      <c r="G49" s="1637"/>
      <c r="H49" s="1637"/>
      <c r="I49" s="1637"/>
      <c r="J49" s="1637"/>
      <c r="K49" s="1637"/>
      <c r="L49" s="1190"/>
      <c r="M49" s="1166"/>
      <c r="N49" s="1166"/>
      <c r="O49" s="1166"/>
      <c r="P49" s="1166"/>
      <c r="Q49" s="1166"/>
    </row>
    <row r="50" spans="1:19">
      <c r="A50" s="1637"/>
      <c r="B50" s="1637"/>
      <c r="C50" s="1637"/>
      <c r="D50" s="1637"/>
      <c r="E50" s="1637"/>
      <c r="F50" s="1637"/>
      <c r="G50" s="1637"/>
      <c r="H50" s="1637"/>
      <c r="I50" s="1637"/>
      <c r="J50" s="1637"/>
      <c r="K50" s="1637"/>
      <c r="L50" s="1166"/>
      <c r="M50" s="1166"/>
      <c r="N50" s="1166"/>
      <c r="O50" s="1166"/>
      <c r="P50" s="1166"/>
      <c r="Q50" s="1166"/>
    </row>
    <row r="51" spans="1:19">
      <c r="A51" s="1637"/>
      <c r="B51" s="1637"/>
      <c r="C51" s="1637"/>
      <c r="D51" s="1637"/>
      <c r="E51" s="1637"/>
      <c r="F51" s="1637"/>
      <c r="G51" s="1637"/>
      <c r="H51" s="1637"/>
      <c r="I51" s="1637"/>
      <c r="J51" s="1637"/>
      <c r="K51" s="1637"/>
      <c r="L51" s="1166"/>
      <c r="M51" s="1166"/>
      <c r="N51" s="1166"/>
      <c r="O51" s="1166"/>
      <c r="P51" s="1166"/>
      <c r="Q51" s="1166"/>
    </row>
    <row r="52" spans="1:19">
      <c r="A52" s="1637"/>
      <c r="B52" s="1637"/>
      <c r="C52" s="1637"/>
      <c r="D52" s="1637"/>
      <c r="E52" s="1637"/>
      <c r="F52" s="1637"/>
      <c r="G52" s="1637"/>
      <c r="H52" s="1637"/>
      <c r="I52" s="1637"/>
      <c r="J52" s="1637"/>
      <c r="K52" s="1637"/>
      <c r="Q52" s="1166"/>
    </row>
    <row r="53" spans="1:19">
      <c r="A53" s="1637"/>
      <c r="B53" s="1637"/>
      <c r="C53" s="1637"/>
      <c r="D53" s="1637"/>
      <c r="E53" s="1637"/>
      <c r="F53" s="1637"/>
      <c r="G53" s="1637"/>
      <c r="H53" s="1637"/>
      <c r="I53" s="1637"/>
      <c r="J53" s="1637"/>
      <c r="K53" s="1637"/>
      <c r="Q53" s="1166"/>
    </row>
    <row r="54" spans="1:19">
      <c r="A54" s="1637"/>
      <c r="B54" s="1637"/>
      <c r="C54" s="1637"/>
      <c r="D54" s="1637"/>
      <c r="E54" s="1637"/>
      <c r="F54" s="1637"/>
      <c r="G54" s="1637"/>
      <c r="H54" s="1637"/>
      <c r="I54" s="1637"/>
      <c r="J54" s="1637"/>
      <c r="K54" s="1637"/>
      <c r="Q54" s="1166"/>
    </row>
    <row r="55" spans="1:19">
      <c r="A55" s="1637"/>
      <c r="B55" s="1637"/>
      <c r="C55" s="1637"/>
      <c r="D55" s="1637"/>
      <c r="E55" s="1637"/>
      <c r="F55" s="1637"/>
      <c r="G55" s="1637"/>
      <c r="H55" s="1637"/>
      <c r="I55" s="1637"/>
      <c r="J55" s="1637"/>
      <c r="K55" s="1637"/>
      <c r="Q55" s="1166"/>
    </row>
    <row r="56" spans="1:19">
      <c r="A56" s="1637"/>
      <c r="B56" s="1637"/>
      <c r="C56" s="1637"/>
      <c r="D56" s="1637"/>
      <c r="E56" s="1637"/>
      <c r="F56" s="1637"/>
      <c r="G56" s="1637"/>
      <c r="H56" s="1637"/>
      <c r="I56" s="1637"/>
      <c r="J56" s="1637"/>
      <c r="K56" s="1637"/>
      <c r="Q56" s="1166"/>
    </row>
    <row r="57" spans="1:19">
      <c r="A57" s="1637"/>
      <c r="B57" s="1637"/>
      <c r="C57" s="1637"/>
      <c r="D57" s="1637"/>
      <c r="E57" s="1637"/>
      <c r="F57" s="1637"/>
      <c r="G57" s="1637"/>
      <c r="H57" s="1637"/>
      <c r="I57" s="1637"/>
      <c r="J57" s="1637"/>
      <c r="K57" s="1637"/>
      <c r="Q57" s="1166"/>
    </row>
    <row r="58" spans="1:19">
      <c r="Q58" s="1191"/>
    </row>
    <row r="59" spans="1:19" ht="18.75" customHeight="1"/>
    <row r="60" spans="1:19" ht="12.75" customHeight="1">
      <c r="Q60" s="1192"/>
      <c r="R60" s="1192"/>
      <c r="S60" s="1192"/>
    </row>
    <row r="61" spans="1:19" ht="68.25" customHeight="1"/>
    <row r="72" ht="39.75" customHeight="1"/>
    <row r="81" spans="17:22" ht="15.75" customHeight="1">
      <c r="Q81" s="1193"/>
      <c r="R81" s="1193"/>
      <c r="S81" s="1193"/>
      <c r="T81" s="1193"/>
      <c r="U81" s="1193"/>
      <c r="V81" s="1176"/>
    </row>
    <row r="82" spans="17:22" ht="6" customHeight="1">
      <c r="Q82" s="1193"/>
      <c r="R82" s="1193"/>
      <c r="S82" s="1193"/>
      <c r="T82" s="1193"/>
      <c r="U82" s="1193"/>
      <c r="V82" s="1176"/>
    </row>
    <row r="83" spans="17:22">
      <c r="Q83" s="1193"/>
      <c r="R83" s="1193"/>
      <c r="S83" s="1193"/>
      <c r="T83" s="1193"/>
      <c r="U83" s="1193"/>
      <c r="V83" s="1176"/>
    </row>
    <row r="84" spans="17:22" ht="6" customHeight="1">
      <c r="Q84" s="1193"/>
      <c r="R84" s="1193"/>
      <c r="S84" s="1193"/>
      <c r="T84" s="1193"/>
      <c r="U84" s="1193"/>
      <c r="V84" s="1176"/>
    </row>
    <row r="85" spans="17:22">
      <c r="Q85" s="1193"/>
      <c r="R85" s="1193"/>
      <c r="S85" s="1193"/>
      <c r="T85" s="1193"/>
      <c r="U85" s="1193"/>
      <c r="V85" s="1176"/>
    </row>
    <row r="86" spans="17:22" ht="12.75" customHeight="1">
      <c r="Q86" s="1193"/>
      <c r="R86" s="1193"/>
      <c r="S86" s="1193"/>
      <c r="T86" s="1193"/>
      <c r="U86" s="1193"/>
      <c r="V86" s="1176"/>
    </row>
    <row r="87" spans="17:22" ht="6.75" customHeight="1">
      <c r="Q87" s="1193"/>
      <c r="R87" s="1193"/>
      <c r="S87" s="1193"/>
      <c r="T87" s="1193"/>
      <c r="U87" s="1193"/>
      <c r="V87" s="1176"/>
    </row>
    <row r="88" spans="17:22">
      <c r="Q88" s="1193"/>
      <c r="R88" s="1193"/>
      <c r="S88" s="1193"/>
      <c r="T88" s="1193"/>
      <c r="U88" s="1193"/>
      <c r="V88" s="1176"/>
    </row>
    <row r="89" spans="17:22">
      <c r="Q89" s="1193"/>
      <c r="R89" s="1193"/>
      <c r="S89" s="1193"/>
      <c r="T89" s="1193"/>
      <c r="U89" s="1176"/>
    </row>
    <row r="90" spans="17:22">
      <c r="Q90" s="1193"/>
      <c r="R90" s="1193"/>
      <c r="S90" s="1193"/>
      <c r="T90" s="1193"/>
      <c r="U90" s="1176"/>
    </row>
    <row r="91" spans="17:22">
      <c r="Q91" s="1193"/>
      <c r="R91" s="1193"/>
      <c r="S91" s="1193"/>
      <c r="T91" s="1193"/>
      <c r="U91" s="1176"/>
    </row>
    <row r="92" spans="17:22">
      <c r="Q92" s="1191"/>
      <c r="R92" s="1191"/>
    </row>
    <row r="93" spans="17:22">
      <c r="Q93" s="1191"/>
    </row>
    <row r="95" spans="17:22" ht="12.75" customHeight="1"/>
    <row r="96" spans="17:22" ht="12.75" customHeight="1"/>
    <row r="97" ht="12.75" customHeight="1"/>
    <row r="98" ht="12.75" customHeight="1"/>
    <row r="104" ht="14.25" customHeight="1"/>
    <row r="105" ht="14.25" customHeight="1"/>
    <row r="112" ht="12.75" customHeight="1"/>
    <row r="113" ht="12.75" customHeight="1"/>
    <row r="114" ht="12.75" customHeight="1"/>
    <row r="115" ht="12.75" customHeight="1"/>
    <row r="116" ht="15.75" customHeight="1"/>
    <row r="129" ht="12.75" customHeight="1"/>
    <row r="130" ht="12.75" customHeight="1"/>
    <row r="132" ht="12.75" customHeight="1"/>
    <row r="146" ht="12.75" customHeight="1"/>
    <row r="147" ht="12.75" customHeight="1"/>
    <row r="149" ht="12.75" customHeight="1"/>
    <row r="164" ht="12.75" customHeight="1"/>
    <row r="165" ht="12.75" customHeight="1"/>
    <row r="166" ht="12.75" customHeight="1"/>
    <row r="182" spans="13:13">
      <c r="M182" s="1176"/>
    </row>
    <row r="183" spans="13:13">
      <c r="M183" s="1194"/>
    </row>
    <row r="184" spans="13:13">
      <c r="M184" s="1177"/>
    </row>
    <row r="185" spans="13:13" ht="12.75" customHeight="1">
      <c r="M185" s="1177"/>
    </row>
    <row r="186" spans="13:13">
      <c r="M186" s="1177"/>
    </row>
    <row r="187" spans="13:13">
      <c r="M187" s="1177"/>
    </row>
    <row r="188" spans="13:13">
      <c r="M188" s="1195"/>
    </row>
    <row r="189" spans="13:13">
      <c r="M189" s="1195"/>
    </row>
    <row r="190" spans="13:13">
      <c r="M190" s="1176"/>
    </row>
    <row r="191" spans="13:13">
      <c r="M191" s="1176"/>
    </row>
    <row r="192" spans="13:13">
      <c r="M192" s="1176"/>
    </row>
    <row r="193" spans="13:13">
      <c r="M193" s="1176"/>
    </row>
    <row r="194" spans="13:13">
      <c r="M194" s="1176"/>
    </row>
    <row r="195" spans="13:13">
      <c r="M195" s="1176"/>
    </row>
    <row r="196" spans="13:13">
      <c r="M196" s="1196"/>
    </row>
    <row r="197" spans="13:13">
      <c r="M197" s="1197"/>
    </row>
    <row r="199" spans="13:13">
      <c r="M199" s="1176"/>
    </row>
    <row r="204" spans="13:13">
      <c r="M204" s="1176"/>
    </row>
    <row r="205" spans="13:13">
      <c r="M205" s="1194"/>
    </row>
    <row r="206" spans="13:13">
      <c r="M206" s="1177"/>
    </row>
    <row r="207" spans="13:13" ht="12.75" customHeight="1">
      <c r="M207" s="1177"/>
    </row>
    <row r="208" spans="13:13">
      <c r="M208" s="1177"/>
    </row>
    <row r="209" spans="13:13">
      <c r="M209" s="1177"/>
    </row>
    <row r="210" spans="13:13">
      <c r="M210" s="1195"/>
    </row>
    <row r="211" spans="13:13">
      <c r="M211" s="1195"/>
    </row>
    <row r="212" spans="13:13">
      <c r="M212" s="1176"/>
    </row>
    <row r="213" spans="13:13">
      <c r="M213" s="1176"/>
    </row>
    <row r="214" spans="13:13">
      <c r="M214" s="1176"/>
    </row>
    <row r="215" spans="13:13">
      <c r="M215" s="1176"/>
    </row>
    <row r="216" spans="13:13">
      <c r="M216" s="1176"/>
    </row>
    <row r="217" spans="13:13">
      <c r="M217" s="1176"/>
    </row>
    <row r="218" spans="13:13">
      <c r="M218" s="1196"/>
    </row>
    <row r="219" spans="13:13">
      <c r="M219" s="1197"/>
    </row>
    <row r="221" spans="13:13">
      <c r="M221" s="1176"/>
    </row>
    <row r="226" spans="13:13">
      <c r="M226" s="1176"/>
    </row>
    <row r="227" spans="13:13">
      <c r="M227" s="1194"/>
    </row>
    <row r="228" spans="13:13">
      <c r="M228" s="1177"/>
    </row>
    <row r="229" spans="13:13" ht="12.75" customHeight="1">
      <c r="M229" s="1177"/>
    </row>
    <row r="230" spans="13:13">
      <c r="M230" s="1177"/>
    </row>
    <row r="231" spans="13:13">
      <c r="M231" s="1177"/>
    </row>
    <row r="232" spans="13:13">
      <c r="M232" s="1195"/>
    </row>
    <row r="233" spans="13:13">
      <c r="M233" s="1195"/>
    </row>
    <row r="234" spans="13:13">
      <c r="M234" s="1176"/>
    </row>
    <row r="235" spans="13:13">
      <c r="M235" s="1176"/>
    </row>
    <row r="236" spans="13:13">
      <c r="M236" s="1176"/>
    </row>
    <row r="237" spans="13:13">
      <c r="M237" s="1176"/>
    </row>
    <row r="238" spans="13:13">
      <c r="M238" s="1176"/>
    </row>
    <row r="239" spans="13:13">
      <c r="M239" s="1176"/>
    </row>
    <row r="240" spans="13:13">
      <c r="M240" s="1196"/>
    </row>
    <row r="241" spans="13:13">
      <c r="M241" s="1197"/>
    </row>
    <row r="243" spans="13:13">
      <c r="M243" s="1176"/>
    </row>
    <row r="248" spans="13:13">
      <c r="M248" s="1176"/>
    </row>
    <row r="249" spans="13:13">
      <c r="M249" s="1194"/>
    </row>
    <row r="250" spans="13:13">
      <c r="M250" s="1177"/>
    </row>
    <row r="251" spans="13:13" ht="12.75" customHeight="1">
      <c r="M251" s="1177"/>
    </row>
    <row r="252" spans="13:13">
      <c r="M252" s="1177"/>
    </row>
    <row r="253" spans="13:13">
      <c r="M253" s="1177"/>
    </row>
    <row r="254" spans="13:13">
      <c r="M254" s="1195"/>
    </row>
    <row r="255" spans="13:13">
      <c r="M255" s="1195"/>
    </row>
    <row r="256" spans="13:13">
      <c r="M256" s="1176"/>
    </row>
    <row r="257" spans="13:13">
      <c r="M257" s="1176"/>
    </row>
    <row r="258" spans="13:13">
      <c r="M258" s="1176"/>
    </row>
    <row r="259" spans="13:13">
      <c r="M259" s="1176"/>
    </row>
    <row r="260" spans="13:13">
      <c r="M260" s="1176"/>
    </row>
    <row r="261" spans="13:13">
      <c r="M261" s="1176"/>
    </row>
    <row r="262" spans="13:13">
      <c r="M262" s="1196"/>
    </row>
    <row r="263" spans="13:13">
      <c r="M263" s="1197"/>
    </row>
    <row r="265" spans="13:13">
      <c r="M265" s="1176"/>
    </row>
    <row r="270" spans="13:13">
      <c r="M270" s="1176"/>
    </row>
    <row r="271" spans="13:13">
      <c r="M271" s="1194"/>
    </row>
    <row r="272" spans="13:13" ht="12.75" customHeight="1">
      <c r="M272" s="1177"/>
    </row>
    <row r="273" spans="13:13" ht="12.75" customHeight="1">
      <c r="M273" s="1177"/>
    </row>
    <row r="274" spans="13:13">
      <c r="M274" s="1177"/>
    </row>
    <row r="275" spans="13:13" ht="12.75" customHeight="1">
      <c r="M275" s="1177"/>
    </row>
    <row r="276" spans="13:13">
      <c r="M276" s="1195"/>
    </row>
    <row r="277" spans="13:13">
      <c r="M277" s="1195"/>
    </row>
    <row r="278" spans="13:13">
      <c r="M278" s="1176"/>
    </row>
    <row r="279" spans="13:13">
      <c r="M279" s="1176"/>
    </row>
    <row r="280" spans="13:13">
      <c r="M280" s="1176"/>
    </row>
    <row r="281" spans="13:13">
      <c r="M281" s="1176"/>
    </row>
    <row r="282" spans="13:13">
      <c r="M282" s="1176"/>
    </row>
    <row r="283" spans="13:13">
      <c r="M283" s="1176"/>
    </row>
    <row r="284" spans="13:13">
      <c r="M284" s="1196"/>
    </row>
    <row r="285" spans="13:13">
      <c r="M285" s="1197"/>
    </row>
    <row r="287" spans="13:13">
      <c r="M287" s="1176"/>
    </row>
  </sheetData>
  <mergeCells count="16">
    <mergeCell ref="B14:C14"/>
    <mergeCell ref="B39:C40"/>
    <mergeCell ref="B45:C46"/>
    <mergeCell ref="A49:K57"/>
    <mergeCell ref="C15:E15"/>
    <mergeCell ref="C16:C18"/>
    <mergeCell ref="D16:D18"/>
    <mergeCell ref="E16:E18"/>
    <mergeCell ref="I16:I18"/>
    <mergeCell ref="F17:F18"/>
    <mergeCell ref="H17:H18"/>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4" manualBreakCount="4">
    <brk id="90" max="18" man="1"/>
    <brk id="126" max="18" man="1"/>
    <brk id="160" max="18" man="1"/>
    <brk id="242" min="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26FF1-0FC7-42B7-BC91-15ABE39AED24}">
  <sheetPr transitionEvaluation="1">
    <pageSetUpPr fitToPage="1"/>
  </sheetPr>
  <dimension ref="A1:S56"/>
  <sheetViews>
    <sheetView defaultGridColor="0" colorId="22" zoomScale="70" zoomScaleNormal="70" workbookViewId="0">
      <selection activeCell="O33" sqref="O33"/>
    </sheetView>
  </sheetViews>
  <sheetFormatPr defaultColWidth="14.7109375" defaultRowHeight="12.75"/>
  <cols>
    <col min="1" max="1" width="33.140625" style="1430" customWidth="1"/>
    <col min="2" max="2" width="11" style="1430" customWidth="1"/>
    <col min="3" max="3" width="16.85546875" style="1430" customWidth="1"/>
    <col min="4" max="4" width="16.7109375" style="1430" customWidth="1"/>
    <col min="5" max="5" width="14.7109375" style="1430" customWidth="1"/>
    <col min="6" max="6" width="4.85546875" style="1430" customWidth="1"/>
    <col min="7" max="7" width="14.7109375" style="1430" customWidth="1"/>
    <col min="8" max="8" width="18.28515625" style="1430" customWidth="1"/>
    <col min="9" max="9" width="15.5703125" style="1430" customWidth="1"/>
    <col min="10" max="10" width="6.140625" style="1430" customWidth="1"/>
    <col min="11" max="11" width="14.7109375" style="1430" customWidth="1"/>
    <col min="12" max="12" width="16.140625" style="1430" customWidth="1"/>
    <col min="13" max="13" width="14.7109375" style="1430" customWidth="1"/>
    <col min="14" max="14" width="4.85546875" style="1430" customWidth="1"/>
    <col min="15" max="15" width="18.5703125" style="1430" customWidth="1"/>
    <col min="16" max="256" width="14.7109375" style="1430"/>
    <col min="257" max="257" width="33.140625" style="1430" customWidth="1"/>
    <col min="258" max="258" width="11" style="1430" customWidth="1"/>
    <col min="259" max="259" width="16.85546875" style="1430" customWidth="1"/>
    <col min="260" max="260" width="16.7109375" style="1430" customWidth="1"/>
    <col min="261" max="261" width="14.7109375" style="1430" customWidth="1"/>
    <col min="262" max="262" width="4.85546875" style="1430" customWidth="1"/>
    <col min="263" max="263" width="14.7109375" style="1430" customWidth="1"/>
    <col min="264" max="264" width="18.28515625" style="1430" customWidth="1"/>
    <col min="265" max="265" width="15.5703125" style="1430" customWidth="1"/>
    <col min="266" max="266" width="6.140625" style="1430" customWidth="1"/>
    <col min="267" max="267" width="14.7109375" style="1430" customWidth="1"/>
    <col min="268" max="268" width="16.140625" style="1430" customWidth="1"/>
    <col min="269" max="269" width="14.7109375" style="1430" customWidth="1"/>
    <col min="270" max="270" width="4.85546875" style="1430" customWidth="1"/>
    <col min="271" max="271" width="18.5703125" style="1430" customWidth="1"/>
    <col min="272" max="512" width="14.7109375" style="1430"/>
    <col min="513" max="513" width="33.140625" style="1430" customWidth="1"/>
    <col min="514" max="514" width="11" style="1430" customWidth="1"/>
    <col min="515" max="515" width="16.85546875" style="1430" customWidth="1"/>
    <col min="516" max="516" width="16.7109375" style="1430" customWidth="1"/>
    <col min="517" max="517" width="14.7109375" style="1430" customWidth="1"/>
    <col min="518" max="518" width="4.85546875" style="1430" customWidth="1"/>
    <col min="519" max="519" width="14.7109375" style="1430" customWidth="1"/>
    <col min="520" max="520" width="18.28515625" style="1430" customWidth="1"/>
    <col min="521" max="521" width="15.5703125" style="1430" customWidth="1"/>
    <col min="522" max="522" width="6.140625" style="1430" customWidth="1"/>
    <col min="523" max="523" width="14.7109375" style="1430" customWidth="1"/>
    <col min="524" max="524" width="16.140625" style="1430" customWidth="1"/>
    <col min="525" max="525" width="14.7109375" style="1430" customWidth="1"/>
    <col min="526" max="526" width="4.85546875" style="1430" customWidth="1"/>
    <col min="527" max="527" width="18.5703125" style="1430" customWidth="1"/>
    <col min="528" max="768" width="14.7109375" style="1430"/>
    <col min="769" max="769" width="33.140625" style="1430" customWidth="1"/>
    <col min="770" max="770" width="11" style="1430" customWidth="1"/>
    <col min="771" max="771" width="16.85546875" style="1430" customWidth="1"/>
    <col min="772" max="772" width="16.7109375" style="1430" customWidth="1"/>
    <col min="773" max="773" width="14.7109375" style="1430" customWidth="1"/>
    <col min="774" max="774" width="4.85546875" style="1430" customWidth="1"/>
    <col min="775" max="775" width="14.7109375" style="1430" customWidth="1"/>
    <col min="776" max="776" width="18.28515625" style="1430" customWidth="1"/>
    <col min="777" max="777" width="15.5703125" style="1430" customWidth="1"/>
    <col min="778" max="778" width="6.140625" style="1430" customWidth="1"/>
    <col min="779" max="779" width="14.7109375" style="1430" customWidth="1"/>
    <col min="780" max="780" width="16.140625" style="1430" customWidth="1"/>
    <col min="781" max="781" width="14.7109375" style="1430" customWidth="1"/>
    <col min="782" max="782" width="4.85546875" style="1430" customWidth="1"/>
    <col min="783" max="783" width="18.5703125" style="1430" customWidth="1"/>
    <col min="784" max="1024" width="14.7109375" style="1430"/>
    <col min="1025" max="1025" width="33.140625" style="1430" customWidth="1"/>
    <col min="1026" max="1026" width="11" style="1430" customWidth="1"/>
    <col min="1027" max="1027" width="16.85546875" style="1430" customWidth="1"/>
    <col min="1028" max="1028" width="16.7109375" style="1430" customWidth="1"/>
    <col min="1029" max="1029" width="14.7109375" style="1430" customWidth="1"/>
    <col min="1030" max="1030" width="4.85546875" style="1430" customWidth="1"/>
    <col min="1031" max="1031" width="14.7109375" style="1430" customWidth="1"/>
    <col min="1032" max="1032" width="18.28515625" style="1430" customWidth="1"/>
    <col min="1033" max="1033" width="15.5703125" style="1430" customWidth="1"/>
    <col min="1034" max="1034" width="6.140625" style="1430" customWidth="1"/>
    <col min="1035" max="1035" width="14.7109375" style="1430" customWidth="1"/>
    <col min="1036" max="1036" width="16.140625" style="1430" customWidth="1"/>
    <col min="1037" max="1037" width="14.7109375" style="1430" customWidth="1"/>
    <col min="1038" max="1038" width="4.85546875" style="1430" customWidth="1"/>
    <col min="1039" max="1039" width="18.5703125" style="1430" customWidth="1"/>
    <col min="1040" max="1280" width="14.7109375" style="1430"/>
    <col min="1281" max="1281" width="33.140625" style="1430" customWidth="1"/>
    <col min="1282" max="1282" width="11" style="1430" customWidth="1"/>
    <col min="1283" max="1283" width="16.85546875" style="1430" customWidth="1"/>
    <col min="1284" max="1284" width="16.7109375" style="1430" customWidth="1"/>
    <col min="1285" max="1285" width="14.7109375" style="1430" customWidth="1"/>
    <col min="1286" max="1286" width="4.85546875" style="1430" customWidth="1"/>
    <col min="1287" max="1287" width="14.7109375" style="1430" customWidth="1"/>
    <col min="1288" max="1288" width="18.28515625" style="1430" customWidth="1"/>
    <col min="1289" max="1289" width="15.5703125" style="1430" customWidth="1"/>
    <col min="1290" max="1290" width="6.140625" style="1430" customWidth="1"/>
    <col min="1291" max="1291" width="14.7109375" style="1430" customWidth="1"/>
    <col min="1292" max="1292" width="16.140625" style="1430" customWidth="1"/>
    <col min="1293" max="1293" width="14.7109375" style="1430" customWidth="1"/>
    <col min="1294" max="1294" width="4.85546875" style="1430" customWidth="1"/>
    <col min="1295" max="1295" width="18.5703125" style="1430" customWidth="1"/>
    <col min="1296" max="1536" width="14.7109375" style="1430"/>
    <col min="1537" max="1537" width="33.140625" style="1430" customWidth="1"/>
    <col min="1538" max="1538" width="11" style="1430" customWidth="1"/>
    <col min="1539" max="1539" width="16.85546875" style="1430" customWidth="1"/>
    <col min="1540" max="1540" width="16.7109375" style="1430" customWidth="1"/>
    <col min="1541" max="1541" width="14.7109375" style="1430" customWidth="1"/>
    <col min="1542" max="1542" width="4.85546875" style="1430" customWidth="1"/>
    <col min="1543" max="1543" width="14.7109375" style="1430" customWidth="1"/>
    <col min="1544" max="1544" width="18.28515625" style="1430" customWidth="1"/>
    <col min="1545" max="1545" width="15.5703125" style="1430" customWidth="1"/>
    <col min="1546" max="1546" width="6.140625" style="1430" customWidth="1"/>
    <col min="1547" max="1547" width="14.7109375" style="1430" customWidth="1"/>
    <col min="1548" max="1548" width="16.140625" style="1430" customWidth="1"/>
    <col min="1549" max="1549" width="14.7109375" style="1430" customWidth="1"/>
    <col min="1550" max="1550" width="4.85546875" style="1430" customWidth="1"/>
    <col min="1551" max="1551" width="18.5703125" style="1430" customWidth="1"/>
    <col min="1552" max="1792" width="14.7109375" style="1430"/>
    <col min="1793" max="1793" width="33.140625" style="1430" customWidth="1"/>
    <col min="1794" max="1794" width="11" style="1430" customWidth="1"/>
    <col min="1795" max="1795" width="16.85546875" style="1430" customWidth="1"/>
    <col min="1796" max="1796" width="16.7109375" style="1430" customWidth="1"/>
    <col min="1797" max="1797" width="14.7109375" style="1430" customWidth="1"/>
    <col min="1798" max="1798" width="4.85546875" style="1430" customWidth="1"/>
    <col min="1799" max="1799" width="14.7109375" style="1430" customWidth="1"/>
    <col min="1800" max="1800" width="18.28515625" style="1430" customWidth="1"/>
    <col min="1801" max="1801" width="15.5703125" style="1430" customWidth="1"/>
    <col min="1802" max="1802" width="6.140625" style="1430" customWidth="1"/>
    <col min="1803" max="1803" width="14.7109375" style="1430" customWidth="1"/>
    <col min="1804" max="1804" width="16.140625" style="1430" customWidth="1"/>
    <col min="1805" max="1805" width="14.7109375" style="1430" customWidth="1"/>
    <col min="1806" max="1806" width="4.85546875" style="1430" customWidth="1"/>
    <col min="1807" max="1807" width="18.5703125" style="1430" customWidth="1"/>
    <col min="1808" max="2048" width="14.7109375" style="1430"/>
    <col min="2049" max="2049" width="33.140625" style="1430" customWidth="1"/>
    <col min="2050" max="2050" width="11" style="1430" customWidth="1"/>
    <col min="2051" max="2051" width="16.85546875" style="1430" customWidth="1"/>
    <col min="2052" max="2052" width="16.7109375" style="1430" customWidth="1"/>
    <col min="2053" max="2053" width="14.7109375" style="1430" customWidth="1"/>
    <col min="2054" max="2054" width="4.85546875" style="1430" customWidth="1"/>
    <col min="2055" max="2055" width="14.7109375" style="1430" customWidth="1"/>
    <col min="2056" max="2056" width="18.28515625" style="1430" customWidth="1"/>
    <col min="2057" max="2057" width="15.5703125" style="1430" customWidth="1"/>
    <col min="2058" max="2058" width="6.140625" style="1430" customWidth="1"/>
    <col min="2059" max="2059" width="14.7109375" style="1430" customWidth="1"/>
    <col min="2060" max="2060" width="16.140625" style="1430" customWidth="1"/>
    <col min="2061" max="2061" width="14.7109375" style="1430" customWidth="1"/>
    <col min="2062" max="2062" width="4.85546875" style="1430" customWidth="1"/>
    <col min="2063" max="2063" width="18.5703125" style="1430" customWidth="1"/>
    <col min="2064" max="2304" width="14.7109375" style="1430"/>
    <col min="2305" max="2305" width="33.140625" style="1430" customWidth="1"/>
    <col min="2306" max="2306" width="11" style="1430" customWidth="1"/>
    <col min="2307" max="2307" width="16.85546875" style="1430" customWidth="1"/>
    <col min="2308" max="2308" width="16.7109375" style="1430" customWidth="1"/>
    <col min="2309" max="2309" width="14.7109375" style="1430" customWidth="1"/>
    <col min="2310" max="2310" width="4.85546875" style="1430" customWidth="1"/>
    <col min="2311" max="2311" width="14.7109375" style="1430" customWidth="1"/>
    <col min="2312" max="2312" width="18.28515625" style="1430" customWidth="1"/>
    <col min="2313" max="2313" width="15.5703125" style="1430" customWidth="1"/>
    <col min="2314" max="2314" width="6.140625" style="1430" customWidth="1"/>
    <col min="2315" max="2315" width="14.7109375" style="1430" customWidth="1"/>
    <col min="2316" max="2316" width="16.140625" style="1430" customWidth="1"/>
    <col min="2317" max="2317" width="14.7109375" style="1430" customWidth="1"/>
    <col min="2318" max="2318" width="4.85546875" style="1430" customWidth="1"/>
    <col min="2319" max="2319" width="18.5703125" style="1430" customWidth="1"/>
    <col min="2320" max="2560" width="14.7109375" style="1430"/>
    <col min="2561" max="2561" width="33.140625" style="1430" customWidth="1"/>
    <col min="2562" max="2562" width="11" style="1430" customWidth="1"/>
    <col min="2563" max="2563" width="16.85546875" style="1430" customWidth="1"/>
    <col min="2564" max="2564" width="16.7109375" style="1430" customWidth="1"/>
    <col min="2565" max="2565" width="14.7109375" style="1430" customWidth="1"/>
    <col min="2566" max="2566" width="4.85546875" style="1430" customWidth="1"/>
    <col min="2567" max="2567" width="14.7109375" style="1430" customWidth="1"/>
    <col min="2568" max="2568" width="18.28515625" style="1430" customWidth="1"/>
    <col min="2569" max="2569" width="15.5703125" style="1430" customWidth="1"/>
    <col min="2570" max="2570" width="6.140625" style="1430" customWidth="1"/>
    <col min="2571" max="2571" width="14.7109375" style="1430" customWidth="1"/>
    <col min="2572" max="2572" width="16.140625" style="1430" customWidth="1"/>
    <col min="2573" max="2573" width="14.7109375" style="1430" customWidth="1"/>
    <col min="2574" max="2574" width="4.85546875" style="1430" customWidth="1"/>
    <col min="2575" max="2575" width="18.5703125" style="1430" customWidth="1"/>
    <col min="2576" max="2816" width="14.7109375" style="1430"/>
    <col min="2817" max="2817" width="33.140625" style="1430" customWidth="1"/>
    <col min="2818" max="2818" width="11" style="1430" customWidth="1"/>
    <col min="2819" max="2819" width="16.85546875" style="1430" customWidth="1"/>
    <col min="2820" max="2820" width="16.7109375" style="1430" customWidth="1"/>
    <col min="2821" max="2821" width="14.7109375" style="1430" customWidth="1"/>
    <col min="2822" max="2822" width="4.85546875" style="1430" customWidth="1"/>
    <col min="2823" max="2823" width="14.7109375" style="1430" customWidth="1"/>
    <col min="2824" max="2824" width="18.28515625" style="1430" customWidth="1"/>
    <col min="2825" max="2825" width="15.5703125" style="1430" customWidth="1"/>
    <col min="2826" max="2826" width="6.140625" style="1430" customWidth="1"/>
    <col min="2827" max="2827" width="14.7109375" style="1430" customWidth="1"/>
    <col min="2828" max="2828" width="16.140625" style="1430" customWidth="1"/>
    <col min="2829" max="2829" width="14.7109375" style="1430" customWidth="1"/>
    <col min="2830" max="2830" width="4.85546875" style="1430" customWidth="1"/>
    <col min="2831" max="2831" width="18.5703125" style="1430" customWidth="1"/>
    <col min="2832" max="3072" width="14.7109375" style="1430"/>
    <col min="3073" max="3073" width="33.140625" style="1430" customWidth="1"/>
    <col min="3074" max="3074" width="11" style="1430" customWidth="1"/>
    <col min="3075" max="3075" width="16.85546875" style="1430" customWidth="1"/>
    <col min="3076" max="3076" width="16.7109375" style="1430" customWidth="1"/>
    <col min="3077" max="3077" width="14.7109375" style="1430" customWidth="1"/>
    <col min="3078" max="3078" width="4.85546875" style="1430" customWidth="1"/>
    <col min="3079" max="3079" width="14.7109375" style="1430" customWidth="1"/>
    <col min="3080" max="3080" width="18.28515625" style="1430" customWidth="1"/>
    <col min="3081" max="3081" width="15.5703125" style="1430" customWidth="1"/>
    <col min="3082" max="3082" width="6.140625" style="1430" customWidth="1"/>
    <col min="3083" max="3083" width="14.7109375" style="1430" customWidth="1"/>
    <col min="3084" max="3084" width="16.140625" style="1430" customWidth="1"/>
    <col min="3085" max="3085" width="14.7109375" style="1430" customWidth="1"/>
    <col min="3086" max="3086" width="4.85546875" style="1430" customWidth="1"/>
    <col min="3087" max="3087" width="18.5703125" style="1430" customWidth="1"/>
    <col min="3088" max="3328" width="14.7109375" style="1430"/>
    <col min="3329" max="3329" width="33.140625" style="1430" customWidth="1"/>
    <col min="3330" max="3330" width="11" style="1430" customWidth="1"/>
    <col min="3331" max="3331" width="16.85546875" style="1430" customWidth="1"/>
    <col min="3332" max="3332" width="16.7109375" style="1430" customWidth="1"/>
    <col min="3333" max="3333" width="14.7109375" style="1430" customWidth="1"/>
    <col min="3334" max="3334" width="4.85546875" style="1430" customWidth="1"/>
    <col min="3335" max="3335" width="14.7109375" style="1430" customWidth="1"/>
    <col min="3336" max="3336" width="18.28515625" style="1430" customWidth="1"/>
    <col min="3337" max="3337" width="15.5703125" style="1430" customWidth="1"/>
    <col min="3338" max="3338" width="6.140625" style="1430" customWidth="1"/>
    <col min="3339" max="3339" width="14.7109375" style="1430" customWidth="1"/>
    <col min="3340" max="3340" width="16.140625" style="1430" customWidth="1"/>
    <col min="3341" max="3341" width="14.7109375" style="1430" customWidth="1"/>
    <col min="3342" max="3342" width="4.85546875" style="1430" customWidth="1"/>
    <col min="3343" max="3343" width="18.5703125" style="1430" customWidth="1"/>
    <col min="3344" max="3584" width="14.7109375" style="1430"/>
    <col min="3585" max="3585" width="33.140625" style="1430" customWidth="1"/>
    <col min="3586" max="3586" width="11" style="1430" customWidth="1"/>
    <col min="3587" max="3587" width="16.85546875" style="1430" customWidth="1"/>
    <col min="3588" max="3588" width="16.7109375" style="1430" customWidth="1"/>
    <col min="3589" max="3589" width="14.7109375" style="1430" customWidth="1"/>
    <col min="3590" max="3590" width="4.85546875" style="1430" customWidth="1"/>
    <col min="3591" max="3591" width="14.7109375" style="1430" customWidth="1"/>
    <col min="3592" max="3592" width="18.28515625" style="1430" customWidth="1"/>
    <col min="3593" max="3593" width="15.5703125" style="1430" customWidth="1"/>
    <col min="3594" max="3594" width="6.140625" style="1430" customWidth="1"/>
    <col min="3595" max="3595" width="14.7109375" style="1430" customWidth="1"/>
    <col min="3596" max="3596" width="16.140625" style="1430" customWidth="1"/>
    <col min="3597" max="3597" width="14.7109375" style="1430" customWidth="1"/>
    <col min="3598" max="3598" width="4.85546875" style="1430" customWidth="1"/>
    <col min="3599" max="3599" width="18.5703125" style="1430" customWidth="1"/>
    <col min="3600" max="3840" width="14.7109375" style="1430"/>
    <col min="3841" max="3841" width="33.140625" style="1430" customWidth="1"/>
    <col min="3842" max="3842" width="11" style="1430" customWidth="1"/>
    <col min="3843" max="3843" width="16.85546875" style="1430" customWidth="1"/>
    <col min="3844" max="3844" width="16.7109375" style="1430" customWidth="1"/>
    <col min="3845" max="3845" width="14.7109375" style="1430" customWidth="1"/>
    <col min="3846" max="3846" width="4.85546875" style="1430" customWidth="1"/>
    <col min="3847" max="3847" width="14.7109375" style="1430" customWidth="1"/>
    <col min="3848" max="3848" width="18.28515625" style="1430" customWidth="1"/>
    <col min="3849" max="3849" width="15.5703125" style="1430" customWidth="1"/>
    <col min="3850" max="3850" width="6.140625" style="1430" customWidth="1"/>
    <col min="3851" max="3851" width="14.7109375" style="1430" customWidth="1"/>
    <col min="3852" max="3852" width="16.140625" style="1430" customWidth="1"/>
    <col min="3853" max="3853" width="14.7109375" style="1430" customWidth="1"/>
    <col min="3854" max="3854" width="4.85546875" style="1430" customWidth="1"/>
    <col min="3855" max="3855" width="18.5703125" style="1430" customWidth="1"/>
    <col min="3856" max="4096" width="14.7109375" style="1430"/>
    <col min="4097" max="4097" width="33.140625" style="1430" customWidth="1"/>
    <col min="4098" max="4098" width="11" style="1430" customWidth="1"/>
    <col min="4099" max="4099" width="16.85546875" style="1430" customWidth="1"/>
    <col min="4100" max="4100" width="16.7109375" style="1430" customWidth="1"/>
    <col min="4101" max="4101" width="14.7109375" style="1430" customWidth="1"/>
    <col min="4102" max="4102" width="4.85546875" style="1430" customWidth="1"/>
    <col min="4103" max="4103" width="14.7109375" style="1430" customWidth="1"/>
    <col min="4104" max="4104" width="18.28515625" style="1430" customWidth="1"/>
    <col min="4105" max="4105" width="15.5703125" style="1430" customWidth="1"/>
    <col min="4106" max="4106" width="6.140625" style="1430" customWidth="1"/>
    <col min="4107" max="4107" width="14.7109375" style="1430" customWidth="1"/>
    <col min="4108" max="4108" width="16.140625" style="1430" customWidth="1"/>
    <col min="4109" max="4109" width="14.7109375" style="1430" customWidth="1"/>
    <col min="4110" max="4110" width="4.85546875" style="1430" customWidth="1"/>
    <col min="4111" max="4111" width="18.5703125" style="1430" customWidth="1"/>
    <col min="4112" max="4352" width="14.7109375" style="1430"/>
    <col min="4353" max="4353" width="33.140625" style="1430" customWidth="1"/>
    <col min="4354" max="4354" width="11" style="1430" customWidth="1"/>
    <col min="4355" max="4355" width="16.85546875" style="1430" customWidth="1"/>
    <col min="4356" max="4356" width="16.7109375" style="1430" customWidth="1"/>
    <col min="4357" max="4357" width="14.7109375" style="1430" customWidth="1"/>
    <col min="4358" max="4358" width="4.85546875" style="1430" customWidth="1"/>
    <col min="4359" max="4359" width="14.7109375" style="1430" customWidth="1"/>
    <col min="4360" max="4360" width="18.28515625" style="1430" customWidth="1"/>
    <col min="4361" max="4361" width="15.5703125" style="1430" customWidth="1"/>
    <col min="4362" max="4362" width="6.140625" style="1430" customWidth="1"/>
    <col min="4363" max="4363" width="14.7109375" style="1430" customWidth="1"/>
    <col min="4364" max="4364" width="16.140625" style="1430" customWidth="1"/>
    <col min="4365" max="4365" width="14.7109375" style="1430" customWidth="1"/>
    <col min="4366" max="4366" width="4.85546875" style="1430" customWidth="1"/>
    <col min="4367" max="4367" width="18.5703125" style="1430" customWidth="1"/>
    <col min="4368" max="4608" width="14.7109375" style="1430"/>
    <col min="4609" max="4609" width="33.140625" style="1430" customWidth="1"/>
    <col min="4610" max="4610" width="11" style="1430" customWidth="1"/>
    <col min="4611" max="4611" width="16.85546875" style="1430" customWidth="1"/>
    <col min="4612" max="4612" width="16.7109375" style="1430" customWidth="1"/>
    <col min="4613" max="4613" width="14.7109375" style="1430" customWidth="1"/>
    <col min="4614" max="4614" width="4.85546875" style="1430" customWidth="1"/>
    <col min="4615" max="4615" width="14.7109375" style="1430" customWidth="1"/>
    <col min="4616" max="4616" width="18.28515625" style="1430" customWidth="1"/>
    <col min="4617" max="4617" width="15.5703125" style="1430" customWidth="1"/>
    <col min="4618" max="4618" width="6.140625" style="1430" customWidth="1"/>
    <col min="4619" max="4619" width="14.7109375" style="1430" customWidth="1"/>
    <col min="4620" max="4620" width="16.140625" style="1430" customWidth="1"/>
    <col min="4621" max="4621" width="14.7109375" style="1430" customWidth="1"/>
    <col min="4622" max="4622" width="4.85546875" style="1430" customWidth="1"/>
    <col min="4623" max="4623" width="18.5703125" style="1430" customWidth="1"/>
    <col min="4624" max="4864" width="14.7109375" style="1430"/>
    <col min="4865" max="4865" width="33.140625" style="1430" customWidth="1"/>
    <col min="4866" max="4866" width="11" style="1430" customWidth="1"/>
    <col min="4867" max="4867" width="16.85546875" style="1430" customWidth="1"/>
    <col min="4868" max="4868" width="16.7109375" style="1430" customWidth="1"/>
    <col min="4869" max="4869" width="14.7109375" style="1430" customWidth="1"/>
    <col min="4870" max="4870" width="4.85546875" style="1430" customWidth="1"/>
    <col min="4871" max="4871" width="14.7109375" style="1430" customWidth="1"/>
    <col min="4872" max="4872" width="18.28515625" style="1430" customWidth="1"/>
    <col min="4873" max="4873" width="15.5703125" style="1430" customWidth="1"/>
    <col min="4874" max="4874" width="6.140625" style="1430" customWidth="1"/>
    <col min="4875" max="4875" width="14.7109375" style="1430" customWidth="1"/>
    <col min="4876" max="4876" width="16.140625" style="1430" customWidth="1"/>
    <col min="4877" max="4877" width="14.7109375" style="1430" customWidth="1"/>
    <col min="4878" max="4878" width="4.85546875" style="1430" customWidth="1"/>
    <col min="4879" max="4879" width="18.5703125" style="1430" customWidth="1"/>
    <col min="4880" max="5120" width="14.7109375" style="1430"/>
    <col min="5121" max="5121" width="33.140625" style="1430" customWidth="1"/>
    <col min="5122" max="5122" width="11" style="1430" customWidth="1"/>
    <col min="5123" max="5123" width="16.85546875" style="1430" customWidth="1"/>
    <col min="5124" max="5124" width="16.7109375" style="1430" customWidth="1"/>
    <col min="5125" max="5125" width="14.7109375" style="1430" customWidth="1"/>
    <col min="5126" max="5126" width="4.85546875" style="1430" customWidth="1"/>
    <col min="5127" max="5127" width="14.7109375" style="1430" customWidth="1"/>
    <col min="5128" max="5128" width="18.28515625" style="1430" customWidth="1"/>
    <col min="5129" max="5129" width="15.5703125" style="1430" customWidth="1"/>
    <col min="5130" max="5130" width="6.140625" style="1430" customWidth="1"/>
    <col min="5131" max="5131" width="14.7109375" style="1430" customWidth="1"/>
    <col min="5132" max="5132" width="16.140625" style="1430" customWidth="1"/>
    <col min="5133" max="5133" width="14.7109375" style="1430" customWidth="1"/>
    <col min="5134" max="5134" width="4.85546875" style="1430" customWidth="1"/>
    <col min="5135" max="5135" width="18.5703125" style="1430" customWidth="1"/>
    <col min="5136" max="5376" width="14.7109375" style="1430"/>
    <col min="5377" max="5377" width="33.140625" style="1430" customWidth="1"/>
    <col min="5378" max="5378" width="11" style="1430" customWidth="1"/>
    <col min="5379" max="5379" width="16.85546875" style="1430" customWidth="1"/>
    <col min="5380" max="5380" width="16.7109375" style="1430" customWidth="1"/>
    <col min="5381" max="5381" width="14.7109375" style="1430" customWidth="1"/>
    <col min="5382" max="5382" width="4.85546875" style="1430" customWidth="1"/>
    <col min="5383" max="5383" width="14.7109375" style="1430" customWidth="1"/>
    <col min="5384" max="5384" width="18.28515625" style="1430" customWidth="1"/>
    <col min="5385" max="5385" width="15.5703125" style="1430" customWidth="1"/>
    <col min="5386" max="5386" width="6.140625" style="1430" customWidth="1"/>
    <col min="5387" max="5387" width="14.7109375" style="1430" customWidth="1"/>
    <col min="5388" max="5388" width="16.140625" style="1430" customWidth="1"/>
    <col min="5389" max="5389" width="14.7109375" style="1430" customWidth="1"/>
    <col min="5390" max="5390" width="4.85546875" style="1430" customWidth="1"/>
    <col min="5391" max="5391" width="18.5703125" style="1430" customWidth="1"/>
    <col min="5392" max="5632" width="14.7109375" style="1430"/>
    <col min="5633" max="5633" width="33.140625" style="1430" customWidth="1"/>
    <col min="5634" max="5634" width="11" style="1430" customWidth="1"/>
    <col min="5635" max="5635" width="16.85546875" style="1430" customWidth="1"/>
    <col min="5636" max="5636" width="16.7109375" style="1430" customWidth="1"/>
    <col min="5637" max="5637" width="14.7109375" style="1430" customWidth="1"/>
    <col min="5638" max="5638" width="4.85546875" style="1430" customWidth="1"/>
    <col min="5639" max="5639" width="14.7109375" style="1430" customWidth="1"/>
    <col min="5640" max="5640" width="18.28515625" style="1430" customWidth="1"/>
    <col min="5641" max="5641" width="15.5703125" style="1430" customWidth="1"/>
    <col min="5642" max="5642" width="6.140625" style="1430" customWidth="1"/>
    <col min="5643" max="5643" width="14.7109375" style="1430" customWidth="1"/>
    <col min="5644" max="5644" width="16.140625" style="1430" customWidth="1"/>
    <col min="5645" max="5645" width="14.7109375" style="1430" customWidth="1"/>
    <col min="5646" max="5646" width="4.85546875" style="1430" customWidth="1"/>
    <col min="5647" max="5647" width="18.5703125" style="1430" customWidth="1"/>
    <col min="5648" max="5888" width="14.7109375" style="1430"/>
    <col min="5889" max="5889" width="33.140625" style="1430" customWidth="1"/>
    <col min="5890" max="5890" width="11" style="1430" customWidth="1"/>
    <col min="5891" max="5891" width="16.85546875" style="1430" customWidth="1"/>
    <col min="5892" max="5892" width="16.7109375" style="1430" customWidth="1"/>
    <col min="5893" max="5893" width="14.7109375" style="1430" customWidth="1"/>
    <col min="5894" max="5894" width="4.85546875" style="1430" customWidth="1"/>
    <col min="5895" max="5895" width="14.7109375" style="1430" customWidth="1"/>
    <col min="5896" max="5896" width="18.28515625" style="1430" customWidth="1"/>
    <col min="5897" max="5897" width="15.5703125" style="1430" customWidth="1"/>
    <col min="5898" max="5898" width="6.140625" style="1430" customWidth="1"/>
    <col min="5899" max="5899" width="14.7109375" style="1430" customWidth="1"/>
    <col min="5900" max="5900" width="16.140625" style="1430" customWidth="1"/>
    <col min="5901" max="5901" width="14.7109375" style="1430" customWidth="1"/>
    <col min="5902" max="5902" width="4.85546875" style="1430" customWidth="1"/>
    <col min="5903" max="5903" width="18.5703125" style="1430" customWidth="1"/>
    <col min="5904" max="6144" width="14.7109375" style="1430"/>
    <col min="6145" max="6145" width="33.140625" style="1430" customWidth="1"/>
    <col min="6146" max="6146" width="11" style="1430" customWidth="1"/>
    <col min="6147" max="6147" width="16.85546875" style="1430" customWidth="1"/>
    <col min="6148" max="6148" width="16.7109375" style="1430" customWidth="1"/>
    <col min="6149" max="6149" width="14.7109375" style="1430" customWidth="1"/>
    <col min="6150" max="6150" width="4.85546875" style="1430" customWidth="1"/>
    <col min="6151" max="6151" width="14.7109375" style="1430" customWidth="1"/>
    <col min="6152" max="6152" width="18.28515625" style="1430" customWidth="1"/>
    <col min="6153" max="6153" width="15.5703125" style="1430" customWidth="1"/>
    <col min="6154" max="6154" width="6.140625" style="1430" customWidth="1"/>
    <col min="6155" max="6155" width="14.7109375" style="1430" customWidth="1"/>
    <col min="6156" max="6156" width="16.140625" style="1430" customWidth="1"/>
    <col min="6157" max="6157" width="14.7109375" style="1430" customWidth="1"/>
    <col min="6158" max="6158" width="4.85546875" style="1430" customWidth="1"/>
    <col min="6159" max="6159" width="18.5703125" style="1430" customWidth="1"/>
    <col min="6160" max="6400" width="14.7109375" style="1430"/>
    <col min="6401" max="6401" width="33.140625" style="1430" customWidth="1"/>
    <col min="6402" max="6402" width="11" style="1430" customWidth="1"/>
    <col min="6403" max="6403" width="16.85546875" style="1430" customWidth="1"/>
    <col min="6404" max="6404" width="16.7109375" style="1430" customWidth="1"/>
    <col min="6405" max="6405" width="14.7109375" style="1430" customWidth="1"/>
    <col min="6406" max="6406" width="4.85546875" style="1430" customWidth="1"/>
    <col min="6407" max="6407" width="14.7109375" style="1430" customWidth="1"/>
    <col min="6408" max="6408" width="18.28515625" style="1430" customWidth="1"/>
    <col min="6409" max="6409" width="15.5703125" style="1430" customWidth="1"/>
    <col min="6410" max="6410" width="6.140625" style="1430" customWidth="1"/>
    <col min="6411" max="6411" width="14.7109375" style="1430" customWidth="1"/>
    <col min="6412" max="6412" width="16.140625" style="1430" customWidth="1"/>
    <col min="6413" max="6413" width="14.7109375" style="1430" customWidth="1"/>
    <col min="6414" max="6414" width="4.85546875" style="1430" customWidth="1"/>
    <col min="6415" max="6415" width="18.5703125" style="1430" customWidth="1"/>
    <col min="6416" max="6656" width="14.7109375" style="1430"/>
    <col min="6657" max="6657" width="33.140625" style="1430" customWidth="1"/>
    <col min="6658" max="6658" width="11" style="1430" customWidth="1"/>
    <col min="6659" max="6659" width="16.85546875" style="1430" customWidth="1"/>
    <col min="6660" max="6660" width="16.7109375" style="1430" customWidth="1"/>
    <col min="6661" max="6661" width="14.7109375" style="1430" customWidth="1"/>
    <col min="6662" max="6662" width="4.85546875" style="1430" customWidth="1"/>
    <col min="6663" max="6663" width="14.7109375" style="1430" customWidth="1"/>
    <col min="6664" max="6664" width="18.28515625" style="1430" customWidth="1"/>
    <col min="6665" max="6665" width="15.5703125" style="1430" customWidth="1"/>
    <col min="6666" max="6666" width="6.140625" style="1430" customWidth="1"/>
    <col min="6667" max="6667" width="14.7109375" style="1430" customWidth="1"/>
    <col min="6668" max="6668" width="16.140625" style="1430" customWidth="1"/>
    <col min="6669" max="6669" width="14.7109375" style="1430" customWidth="1"/>
    <col min="6670" max="6670" width="4.85546875" style="1430" customWidth="1"/>
    <col min="6671" max="6671" width="18.5703125" style="1430" customWidth="1"/>
    <col min="6672" max="6912" width="14.7109375" style="1430"/>
    <col min="6913" max="6913" width="33.140625" style="1430" customWidth="1"/>
    <col min="6914" max="6914" width="11" style="1430" customWidth="1"/>
    <col min="6915" max="6915" width="16.85546875" style="1430" customWidth="1"/>
    <col min="6916" max="6916" width="16.7109375" style="1430" customWidth="1"/>
    <col min="6917" max="6917" width="14.7109375" style="1430" customWidth="1"/>
    <col min="6918" max="6918" width="4.85546875" style="1430" customWidth="1"/>
    <col min="6919" max="6919" width="14.7109375" style="1430" customWidth="1"/>
    <col min="6920" max="6920" width="18.28515625" style="1430" customWidth="1"/>
    <col min="6921" max="6921" width="15.5703125" style="1430" customWidth="1"/>
    <col min="6922" max="6922" width="6.140625" style="1430" customWidth="1"/>
    <col min="6923" max="6923" width="14.7109375" style="1430" customWidth="1"/>
    <col min="6924" max="6924" width="16.140625" style="1430" customWidth="1"/>
    <col min="6925" max="6925" width="14.7109375" style="1430" customWidth="1"/>
    <col min="6926" max="6926" width="4.85546875" style="1430" customWidth="1"/>
    <col min="6927" max="6927" width="18.5703125" style="1430" customWidth="1"/>
    <col min="6928" max="7168" width="14.7109375" style="1430"/>
    <col min="7169" max="7169" width="33.140625" style="1430" customWidth="1"/>
    <col min="7170" max="7170" width="11" style="1430" customWidth="1"/>
    <col min="7171" max="7171" width="16.85546875" style="1430" customWidth="1"/>
    <col min="7172" max="7172" width="16.7109375" style="1430" customWidth="1"/>
    <col min="7173" max="7173" width="14.7109375" style="1430" customWidth="1"/>
    <col min="7174" max="7174" width="4.85546875" style="1430" customWidth="1"/>
    <col min="7175" max="7175" width="14.7109375" style="1430" customWidth="1"/>
    <col min="7176" max="7176" width="18.28515625" style="1430" customWidth="1"/>
    <col min="7177" max="7177" width="15.5703125" style="1430" customWidth="1"/>
    <col min="7178" max="7178" width="6.140625" style="1430" customWidth="1"/>
    <col min="7179" max="7179" width="14.7109375" style="1430" customWidth="1"/>
    <col min="7180" max="7180" width="16.140625" style="1430" customWidth="1"/>
    <col min="7181" max="7181" width="14.7109375" style="1430" customWidth="1"/>
    <col min="7182" max="7182" width="4.85546875" style="1430" customWidth="1"/>
    <col min="7183" max="7183" width="18.5703125" style="1430" customWidth="1"/>
    <col min="7184" max="7424" width="14.7109375" style="1430"/>
    <col min="7425" max="7425" width="33.140625" style="1430" customWidth="1"/>
    <col min="7426" max="7426" width="11" style="1430" customWidth="1"/>
    <col min="7427" max="7427" width="16.85546875" style="1430" customWidth="1"/>
    <col min="7428" max="7428" width="16.7109375" style="1430" customWidth="1"/>
    <col min="7429" max="7429" width="14.7109375" style="1430" customWidth="1"/>
    <col min="7430" max="7430" width="4.85546875" style="1430" customWidth="1"/>
    <col min="7431" max="7431" width="14.7109375" style="1430" customWidth="1"/>
    <col min="7432" max="7432" width="18.28515625" style="1430" customWidth="1"/>
    <col min="7433" max="7433" width="15.5703125" style="1430" customWidth="1"/>
    <col min="7434" max="7434" width="6.140625" style="1430" customWidth="1"/>
    <col min="7435" max="7435" width="14.7109375" style="1430" customWidth="1"/>
    <col min="7436" max="7436" width="16.140625" style="1430" customWidth="1"/>
    <col min="7437" max="7437" width="14.7109375" style="1430" customWidth="1"/>
    <col min="7438" max="7438" width="4.85546875" style="1430" customWidth="1"/>
    <col min="7439" max="7439" width="18.5703125" style="1430" customWidth="1"/>
    <col min="7440" max="7680" width="14.7109375" style="1430"/>
    <col min="7681" max="7681" width="33.140625" style="1430" customWidth="1"/>
    <col min="7682" max="7682" width="11" style="1430" customWidth="1"/>
    <col min="7683" max="7683" width="16.85546875" style="1430" customWidth="1"/>
    <col min="7684" max="7684" width="16.7109375" style="1430" customWidth="1"/>
    <col min="7685" max="7685" width="14.7109375" style="1430" customWidth="1"/>
    <col min="7686" max="7686" width="4.85546875" style="1430" customWidth="1"/>
    <col min="7687" max="7687" width="14.7109375" style="1430" customWidth="1"/>
    <col min="7688" max="7688" width="18.28515625" style="1430" customWidth="1"/>
    <col min="7689" max="7689" width="15.5703125" style="1430" customWidth="1"/>
    <col min="7690" max="7690" width="6.140625" style="1430" customWidth="1"/>
    <col min="7691" max="7691" width="14.7109375" style="1430" customWidth="1"/>
    <col min="7692" max="7692" width="16.140625" style="1430" customWidth="1"/>
    <col min="7693" max="7693" width="14.7109375" style="1430" customWidth="1"/>
    <col min="7694" max="7694" width="4.85546875" style="1430" customWidth="1"/>
    <col min="7695" max="7695" width="18.5703125" style="1430" customWidth="1"/>
    <col min="7696" max="7936" width="14.7109375" style="1430"/>
    <col min="7937" max="7937" width="33.140625" style="1430" customWidth="1"/>
    <col min="7938" max="7938" width="11" style="1430" customWidth="1"/>
    <col min="7939" max="7939" width="16.85546875" style="1430" customWidth="1"/>
    <col min="7940" max="7940" width="16.7109375" style="1430" customWidth="1"/>
    <col min="7941" max="7941" width="14.7109375" style="1430" customWidth="1"/>
    <col min="7942" max="7942" width="4.85546875" style="1430" customWidth="1"/>
    <col min="7943" max="7943" width="14.7109375" style="1430" customWidth="1"/>
    <col min="7944" max="7944" width="18.28515625" style="1430" customWidth="1"/>
    <col min="7945" max="7945" width="15.5703125" style="1430" customWidth="1"/>
    <col min="7946" max="7946" width="6.140625" style="1430" customWidth="1"/>
    <col min="7947" max="7947" width="14.7109375" style="1430" customWidth="1"/>
    <col min="7948" max="7948" width="16.140625" style="1430" customWidth="1"/>
    <col min="7949" max="7949" width="14.7109375" style="1430" customWidth="1"/>
    <col min="7950" max="7950" width="4.85546875" style="1430" customWidth="1"/>
    <col min="7951" max="7951" width="18.5703125" style="1430" customWidth="1"/>
    <col min="7952" max="8192" width="14.7109375" style="1430"/>
    <col min="8193" max="8193" width="33.140625" style="1430" customWidth="1"/>
    <col min="8194" max="8194" width="11" style="1430" customWidth="1"/>
    <col min="8195" max="8195" width="16.85546875" style="1430" customWidth="1"/>
    <col min="8196" max="8196" width="16.7109375" style="1430" customWidth="1"/>
    <col min="8197" max="8197" width="14.7109375" style="1430" customWidth="1"/>
    <col min="8198" max="8198" width="4.85546875" style="1430" customWidth="1"/>
    <col min="8199" max="8199" width="14.7109375" style="1430" customWidth="1"/>
    <col min="8200" max="8200" width="18.28515625" style="1430" customWidth="1"/>
    <col min="8201" max="8201" width="15.5703125" style="1430" customWidth="1"/>
    <col min="8202" max="8202" width="6.140625" style="1430" customWidth="1"/>
    <col min="8203" max="8203" width="14.7109375" style="1430" customWidth="1"/>
    <col min="8204" max="8204" width="16.140625" style="1430" customWidth="1"/>
    <col min="8205" max="8205" width="14.7109375" style="1430" customWidth="1"/>
    <col min="8206" max="8206" width="4.85546875" style="1430" customWidth="1"/>
    <col min="8207" max="8207" width="18.5703125" style="1430" customWidth="1"/>
    <col min="8208" max="8448" width="14.7109375" style="1430"/>
    <col min="8449" max="8449" width="33.140625" style="1430" customWidth="1"/>
    <col min="8450" max="8450" width="11" style="1430" customWidth="1"/>
    <col min="8451" max="8451" width="16.85546875" style="1430" customWidth="1"/>
    <col min="8452" max="8452" width="16.7109375" style="1430" customWidth="1"/>
    <col min="8453" max="8453" width="14.7109375" style="1430" customWidth="1"/>
    <col min="8454" max="8454" width="4.85546875" style="1430" customWidth="1"/>
    <col min="8455" max="8455" width="14.7109375" style="1430" customWidth="1"/>
    <col min="8456" max="8456" width="18.28515625" style="1430" customWidth="1"/>
    <col min="8457" max="8457" width="15.5703125" style="1430" customWidth="1"/>
    <col min="8458" max="8458" width="6.140625" style="1430" customWidth="1"/>
    <col min="8459" max="8459" width="14.7109375" style="1430" customWidth="1"/>
    <col min="8460" max="8460" width="16.140625" style="1430" customWidth="1"/>
    <col min="8461" max="8461" width="14.7109375" style="1430" customWidth="1"/>
    <col min="8462" max="8462" width="4.85546875" style="1430" customWidth="1"/>
    <col min="8463" max="8463" width="18.5703125" style="1430" customWidth="1"/>
    <col min="8464" max="8704" width="14.7109375" style="1430"/>
    <col min="8705" max="8705" width="33.140625" style="1430" customWidth="1"/>
    <col min="8706" max="8706" width="11" style="1430" customWidth="1"/>
    <col min="8707" max="8707" width="16.85546875" style="1430" customWidth="1"/>
    <col min="8708" max="8708" width="16.7109375" style="1430" customWidth="1"/>
    <col min="8709" max="8709" width="14.7109375" style="1430" customWidth="1"/>
    <col min="8710" max="8710" width="4.85546875" style="1430" customWidth="1"/>
    <col min="8711" max="8711" width="14.7109375" style="1430" customWidth="1"/>
    <col min="8712" max="8712" width="18.28515625" style="1430" customWidth="1"/>
    <col min="8713" max="8713" width="15.5703125" style="1430" customWidth="1"/>
    <col min="8714" max="8714" width="6.140625" style="1430" customWidth="1"/>
    <col min="8715" max="8715" width="14.7109375" style="1430" customWidth="1"/>
    <col min="8716" max="8716" width="16.140625" style="1430" customWidth="1"/>
    <col min="8717" max="8717" width="14.7109375" style="1430" customWidth="1"/>
    <col min="8718" max="8718" width="4.85546875" style="1430" customWidth="1"/>
    <col min="8719" max="8719" width="18.5703125" style="1430" customWidth="1"/>
    <col min="8720" max="8960" width="14.7109375" style="1430"/>
    <col min="8961" max="8961" width="33.140625" style="1430" customWidth="1"/>
    <col min="8962" max="8962" width="11" style="1430" customWidth="1"/>
    <col min="8963" max="8963" width="16.85546875" style="1430" customWidth="1"/>
    <col min="8964" max="8964" width="16.7109375" style="1430" customWidth="1"/>
    <col min="8965" max="8965" width="14.7109375" style="1430" customWidth="1"/>
    <col min="8966" max="8966" width="4.85546875" style="1430" customWidth="1"/>
    <col min="8967" max="8967" width="14.7109375" style="1430" customWidth="1"/>
    <col min="8968" max="8968" width="18.28515625" style="1430" customWidth="1"/>
    <col min="8969" max="8969" width="15.5703125" style="1430" customWidth="1"/>
    <col min="8970" max="8970" width="6.140625" style="1430" customWidth="1"/>
    <col min="8971" max="8971" width="14.7109375" style="1430" customWidth="1"/>
    <col min="8972" max="8972" width="16.140625" style="1430" customWidth="1"/>
    <col min="8973" max="8973" width="14.7109375" style="1430" customWidth="1"/>
    <col min="8974" max="8974" width="4.85546875" style="1430" customWidth="1"/>
    <col min="8975" max="8975" width="18.5703125" style="1430" customWidth="1"/>
    <col min="8976" max="9216" width="14.7109375" style="1430"/>
    <col min="9217" max="9217" width="33.140625" style="1430" customWidth="1"/>
    <col min="9218" max="9218" width="11" style="1430" customWidth="1"/>
    <col min="9219" max="9219" width="16.85546875" style="1430" customWidth="1"/>
    <col min="9220" max="9220" width="16.7109375" style="1430" customWidth="1"/>
    <col min="9221" max="9221" width="14.7109375" style="1430" customWidth="1"/>
    <col min="9222" max="9222" width="4.85546875" style="1430" customWidth="1"/>
    <col min="9223" max="9223" width="14.7109375" style="1430" customWidth="1"/>
    <col min="9224" max="9224" width="18.28515625" style="1430" customWidth="1"/>
    <col min="9225" max="9225" width="15.5703125" style="1430" customWidth="1"/>
    <col min="9226" max="9226" width="6.140625" style="1430" customWidth="1"/>
    <col min="9227" max="9227" width="14.7109375" style="1430" customWidth="1"/>
    <col min="9228" max="9228" width="16.140625" style="1430" customWidth="1"/>
    <col min="9229" max="9229" width="14.7109375" style="1430" customWidth="1"/>
    <col min="9230" max="9230" width="4.85546875" style="1430" customWidth="1"/>
    <col min="9231" max="9231" width="18.5703125" style="1430" customWidth="1"/>
    <col min="9232" max="9472" width="14.7109375" style="1430"/>
    <col min="9473" max="9473" width="33.140625" style="1430" customWidth="1"/>
    <col min="9474" max="9474" width="11" style="1430" customWidth="1"/>
    <col min="9475" max="9475" width="16.85546875" style="1430" customWidth="1"/>
    <col min="9476" max="9476" width="16.7109375" style="1430" customWidth="1"/>
    <col min="9477" max="9477" width="14.7109375" style="1430" customWidth="1"/>
    <col min="9478" max="9478" width="4.85546875" style="1430" customWidth="1"/>
    <col min="9479" max="9479" width="14.7109375" style="1430" customWidth="1"/>
    <col min="9480" max="9480" width="18.28515625" style="1430" customWidth="1"/>
    <col min="9481" max="9481" width="15.5703125" style="1430" customWidth="1"/>
    <col min="9482" max="9482" width="6.140625" style="1430" customWidth="1"/>
    <col min="9483" max="9483" width="14.7109375" style="1430" customWidth="1"/>
    <col min="9484" max="9484" width="16.140625" style="1430" customWidth="1"/>
    <col min="9485" max="9485" width="14.7109375" style="1430" customWidth="1"/>
    <col min="9486" max="9486" width="4.85546875" style="1430" customWidth="1"/>
    <col min="9487" max="9487" width="18.5703125" style="1430" customWidth="1"/>
    <col min="9488" max="9728" width="14.7109375" style="1430"/>
    <col min="9729" max="9729" width="33.140625" style="1430" customWidth="1"/>
    <col min="9730" max="9730" width="11" style="1430" customWidth="1"/>
    <col min="9731" max="9731" width="16.85546875" style="1430" customWidth="1"/>
    <col min="9732" max="9732" width="16.7109375" style="1430" customWidth="1"/>
    <col min="9733" max="9733" width="14.7109375" style="1430" customWidth="1"/>
    <col min="9734" max="9734" width="4.85546875" style="1430" customWidth="1"/>
    <col min="9735" max="9735" width="14.7109375" style="1430" customWidth="1"/>
    <col min="9736" max="9736" width="18.28515625" style="1430" customWidth="1"/>
    <col min="9737" max="9737" width="15.5703125" style="1430" customWidth="1"/>
    <col min="9738" max="9738" width="6.140625" style="1430" customWidth="1"/>
    <col min="9739" max="9739" width="14.7109375" style="1430" customWidth="1"/>
    <col min="9740" max="9740" width="16.140625" style="1430" customWidth="1"/>
    <col min="9741" max="9741" width="14.7109375" style="1430" customWidth="1"/>
    <col min="9742" max="9742" width="4.85546875" style="1430" customWidth="1"/>
    <col min="9743" max="9743" width="18.5703125" style="1430" customWidth="1"/>
    <col min="9744" max="9984" width="14.7109375" style="1430"/>
    <col min="9985" max="9985" width="33.140625" style="1430" customWidth="1"/>
    <col min="9986" max="9986" width="11" style="1430" customWidth="1"/>
    <col min="9987" max="9987" width="16.85546875" style="1430" customWidth="1"/>
    <col min="9988" max="9988" width="16.7109375" style="1430" customWidth="1"/>
    <col min="9989" max="9989" width="14.7109375" style="1430" customWidth="1"/>
    <col min="9990" max="9990" width="4.85546875" style="1430" customWidth="1"/>
    <col min="9991" max="9991" width="14.7109375" style="1430" customWidth="1"/>
    <col min="9992" max="9992" width="18.28515625" style="1430" customWidth="1"/>
    <col min="9993" max="9993" width="15.5703125" style="1430" customWidth="1"/>
    <col min="9994" max="9994" width="6.140625" style="1430" customWidth="1"/>
    <col min="9995" max="9995" width="14.7109375" style="1430" customWidth="1"/>
    <col min="9996" max="9996" width="16.140625" style="1430" customWidth="1"/>
    <col min="9997" max="9997" width="14.7109375" style="1430" customWidth="1"/>
    <col min="9998" max="9998" width="4.85546875" style="1430" customWidth="1"/>
    <col min="9999" max="9999" width="18.5703125" style="1430" customWidth="1"/>
    <col min="10000" max="10240" width="14.7109375" style="1430"/>
    <col min="10241" max="10241" width="33.140625" style="1430" customWidth="1"/>
    <col min="10242" max="10242" width="11" style="1430" customWidth="1"/>
    <col min="10243" max="10243" width="16.85546875" style="1430" customWidth="1"/>
    <col min="10244" max="10244" width="16.7109375" style="1430" customWidth="1"/>
    <col min="10245" max="10245" width="14.7109375" style="1430" customWidth="1"/>
    <col min="10246" max="10246" width="4.85546875" style="1430" customWidth="1"/>
    <col min="10247" max="10247" width="14.7109375" style="1430" customWidth="1"/>
    <col min="10248" max="10248" width="18.28515625" style="1430" customWidth="1"/>
    <col min="10249" max="10249" width="15.5703125" style="1430" customWidth="1"/>
    <col min="10250" max="10250" width="6.140625" style="1430" customWidth="1"/>
    <col min="10251" max="10251" width="14.7109375" style="1430" customWidth="1"/>
    <col min="10252" max="10252" width="16.140625" style="1430" customWidth="1"/>
    <col min="10253" max="10253" width="14.7109375" style="1430" customWidth="1"/>
    <col min="10254" max="10254" width="4.85546875" style="1430" customWidth="1"/>
    <col min="10255" max="10255" width="18.5703125" style="1430" customWidth="1"/>
    <col min="10256" max="10496" width="14.7109375" style="1430"/>
    <col min="10497" max="10497" width="33.140625" style="1430" customWidth="1"/>
    <col min="10498" max="10498" width="11" style="1430" customWidth="1"/>
    <col min="10499" max="10499" width="16.85546875" style="1430" customWidth="1"/>
    <col min="10500" max="10500" width="16.7109375" style="1430" customWidth="1"/>
    <col min="10501" max="10501" width="14.7109375" style="1430" customWidth="1"/>
    <col min="10502" max="10502" width="4.85546875" style="1430" customWidth="1"/>
    <col min="10503" max="10503" width="14.7109375" style="1430" customWidth="1"/>
    <col min="10504" max="10504" width="18.28515625" style="1430" customWidth="1"/>
    <col min="10505" max="10505" width="15.5703125" style="1430" customWidth="1"/>
    <col min="10506" max="10506" width="6.140625" style="1430" customWidth="1"/>
    <col min="10507" max="10507" width="14.7109375" style="1430" customWidth="1"/>
    <col min="10508" max="10508" width="16.140625" style="1430" customWidth="1"/>
    <col min="10509" max="10509" width="14.7109375" style="1430" customWidth="1"/>
    <col min="10510" max="10510" width="4.85546875" style="1430" customWidth="1"/>
    <col min="10511" max="10511" width="18.5703125" style="1430" customWidth="1"/>
    <col min="10512" max="10752" width="14.7109375" style="1430"/>
    <col min="10753" max="10753" width="33.140625" style="1430" customWidth="1"/>
    <col min="10754" max="10754" width="11" style="1430" customWidth="1"/>
    <col min="10755" max="10755" width="16.85546875" style="1430" customWidth="1"/>
    <col min="10756" max="10756" width="16.7109375" style="1430" customWidth="1"/>
    <col min="10757" max="10757" width="14.7109375" style="1430" customWidth="1"/>
    <col min="10758" max="10758" width="4.85546875" style="1430" customWidth="1"/>
    <col min="10759" max="10759" width="14.7109375" style="1430" customWidth="1"/>
    <col min="10760" max="10760" width="18.28515625" style="1430" customWidth="1"/>
    <col min="10761" max="10761" width="15.5703125" style="1430" customWidth="1"/>
    <col min="10762" max="10762" width="6.140625" style="1430" customWidth="1"/>
    <col min="10763" max="10763" width="14.7109375" style="1430" customWidth="1"/>
    <col min="10764" max="10764" width="16.140625" style="1430" customWidth="1"/>
    <col min="10765" max="10765" width="14.7109375" style="1430" customWidth="1"/>
    <col min="10766" max="10766" width="4.85546875" style="1430" customWidth="1"/>
    <col min="10767" max="10767" width="18.5703125" style="1430" customWidth="1"/>
    <col min="10768" max="11008" width="14.7109375" style="1430"/>
    <col min="11009" max="11009" width="33.140625" style="1430" customWidth="1"/>
    <col min="11010" max="11010" width="11" style="1430" customWidth="1"/>
    <col min="11011" max="11011" width="16.85546875" style="1430" customWidth="1"/>
    <col min="11012" max="11012" width="16.7109375" style="1430" customWidth="1"/>
    <col min="11013" max="11013" width="14.7109375" style="1430" customWidth="1"/>
    <col min="11014" max="11014" width="4.85546875" style="1430" customWidth="1"/>
    <col min="11015" max="11015" width="14.7109375" style="1430" customWidth="1"/>
    <col min="11016" max="11016" width="18.28515625" style="1430" customWidth="1"/>
    <col min="11017" max="11017" width="15.5703125" style="1430" customWidth="1"/>
    <col min="11018" max="11018" width="6.140625" style="1430" customWidth="1"/>
    <col min="11019" max="11019" width="14.7109375" style="1430" customWidth="1"/>
    <col min="11020" max="11020" width="16.140625" style="1430" customWidth="1"/>
    <col min="11021" max="11021" width="14.7109375" style="1430" customWidth="1"/>
    <col min="11022" max="11022" width="4.85546875" style="1430" customWidth="1"/>
    <col min="11023" max="11023" width="18.5703125" style="1430" customWidth="1"/>
    <col min="11024" max="11264" width="14.7109375" style="1430"/>
    <col min="11265" max="11265" width="33.140625" style="1430" customWidth="1"/>
    <col min="11266" max="11266" width="11" style="1430" customWidth="1"/>
    <col min="11267" max="11267" width="16.85546875" style="1430" customWidth="1"/>
    <col min="11268" max="11268" width="16.7109375" style="1430" customWidth="1"/>
    <col min="11269" max="11269" width="14.7109375" style="1430" customWidth="1"/>
    <col min="11270" max="11270" width="4.85546875" style="1430" customWidth="1"/>
    <col min="11271" max="11271" width="14.7109375" style="1430" customWidth="1"/>
    <col min="11272" max="11272" width="18.28515625" style="1430" customWidth="1"/>
    <col min="11273" max="11273" width="15.5703125" style="1430" customWidth="1"/>
    <col min="11274" max="11274" width="6.140625" style="1430" customWidth="1"/>
    <col min="11275" max="11275" width="14.7109375" style="1430" customWidth="1"/>
    <col min="11276" max="11276" width="16.140625" style="1430" customWidth="1"/>
    <col min="11277" max="11277" width="14.7109375" style="1430" customWidth="1"/>
    <col min="11278" max="11278" width="4.85546875" style="1430" customWidth="1"/>
    <col min="11279" max="11279" width="18.5703125" style="1430" customWidth="1"/>
    <col min="11280" max="11520" width="14.7109375" style="1430"/>
    <col min="11521" max="11521" width="33.140625" style="1430" customWidth="1"/>
    <col min="11522" max="11522" width="11" style="1430" customWidth="1"/>
    <col min="11523" max="11523" width="16.85546875" style="1430" customWidth="1"/>
    <col min="11524" max="11524" width="16.7109375" style="1430" customWidth="1"/>
    <col min="11525" max="11525" width="14.7109375" style="1430" customWidth="1"/>
    <col min="11526" max="11526" width="4.85546875" style="1430" customWidth="1"/>
    <col min="11527" max="11527" width="14.7109375" style="1430" customWidth="1"/>
    <col min="11528" max="11528" width="18.28515625" style="1430" customWidth="1"/>
    <col min="11529" max="11529" width="15.5703125" style="1430" customWidth="1"/>
    <col min="11530" max="11530" width="6.140625" style="1430" customWidth="1"/>
    <col min="11531" max="11531" width="14.7109375" style="1430" customWidth="1"/>
    <col min="11532" max="11532" width="16.140625" style="1430" customWidth="1"/>
    <col min="11533" max="11533" width="14.7109375" style="1430" customWidth="1"/>
    <col min="11534" max="11534" width="4.85546875" style="1430" customWidth="1"/>
    <col min="11535" max="11535" width="18.5703125" style="1430" customWidth="1"/>
    <col min="11536" max="11776" width="14.7109375" style="1430"/>
    <col min="11777" max="11777" width="33.140625" style="1430" customWidth="1"/>
    <col min="11778" max="11778" width="11" style="1430" customWidth="1"/>
    <col min="11779" max="11779" width="16.85546875" style="1430" customWidth="1"/>
    <col min="11780" max="11780" width="16.7109375" style="1430" customWidth="1"/>
    <col min="11781" max="11781" width="14.7109375" style="1430" customWidth="1"/>
    <col min="11782" max="11782" width="4.85546875" style="1430" customWidth="1"/>
    <col min="11783" max="11783" width="14.7109375" style="1430" customWidth="1"/>
    <col min="11784" max="11784" width="18.28515625" style="1430" customWidth="1"/>
    <col min="11785" max="11785" width="15.5703125" style="1430" customWidth="1"/>
    <col min="11786" max="11786" width="6.140625" style="1430" customWidth="1"/>
    <col min="11787" max="11787" width="14.7109375" style="1430" customWidth="1"/>
    <col min="11788" max="11788" width="16.140625" style="1430" customWidth="1"/>
    <col min="11789" max="11789" width="14.7109375" style="1430" customWidth="1"/>
    <col min="11790" max="11790" width="4.85546875" style="1430" customWidth="1"/>
    <col min="11791" max="11791" width="18.5703125" style="1430" customWidth="1"/>
    <col min="11792" max="12032" width="14.7109375" style="1430"/>
    <col min="12033" max="12033" width="33.140625" style="1430" customWidth="1"/>
    <col min="12034" max="12034" width="11" style="1430" customWidth="1"/>
    <col min="12035" max="12035" width="16.85546875" style="1430" customWidth="1"/>
    <col min="12036" max="12036" width="16.7109375" style="1430" customWidth="1"/>
    <col min="12037" max="12037" width="14.7109375" style="1430" customWidth="1"/>
    <col min="12038" max="12038" width="4.85546875" style="1430" customWidth="1"/>
    <col min="12039" max="12039" width="14.7109375" style="1430" customWidth="1"/>
    <col min="12040" max="12040" width="18.28515625" style="1430" customWidth="1"/>
    <col min="12041" max="12041" width="15.5703125" style="1430" customWidth="1"/>
    <col min="12042" max="12042" width="6.140625" style="1430" customWidth="1"/>
    <col min="12043" max="12043" width="14.7109375" style="1430" customWidth="1"/>
    <col min="12044" max="12044" width="16.140625" style="1430" customWidth="1"/>
    <col min="12045" max="12045" width="14.7109375" style="1430" customWidth="1"/>
    <col min="12046" max="12046" width="4.85546875" style="1430" customWidth="1"/>
    <col min="12047" max="12047" width="18.5703125" style="1430" customWidth="1"/>
    <col min="12048" max="12288" width="14.7109375" style="1430"/>
    <col min="12289" max="12289" width="33.140625" style="1430" customWidth="1"/>
    <col min="12290" max="12290" width="11" style="1430" customWidth="1"/>
    <col min="12291" max="12291" width="16.85546875" style="1430" customWidth="1"/>
    <col min="12292" max="12292" width="16.7109375" style="1430" customWidth="1"/>
    <col min="12293" max="12293" width="14.7109375" style="1430" customWidth="1"/>
    <col min="12294" max="12294" width="4.85546875" style="1430" customWidth="1"/>
    <col min="12295" max="12295" width="14.7109375" style="1430" customWidth="1"/>
    <col min="12296" max="12296" width="18.28515625" style="1430" customWidth="1"/>
    <col min="12297" max="12297" width="15.5703125" style="1430" customWidth="1"/>
    <col min="12298" max="12298" width="6.140625" style="1430" customWidth="1"/>
    <col min="12299" max="12299" width="14.7109375" style="1430" customWidth="1"/>
    <col min="12300" max="12300" width="16.140625" style="1430" customWidth="1"/>
    <col min="12301" max="12301" width="14.7109375" style="1430" customWidth="1"/>
    <col min="12302" max="12302" width="4.85546875" style="1430" customWidth="1"/>
    <col min="12303" max="12303" width="18.5703125" style="1430" customWidth="1"/>
    <col min="12304" max="12544" width="14.7109375" style="1430"/>
    <col min="12545" max="12545" width="33.140625" style="1430" customWidth="1"/>
    <col min="12546" max="12546" width="11" style="1430" customWidth="1"/>
    <col min="12547" max="12547" width="16.85546875" style="1430" customWidth="1"/>
    <col min="12548" max="12548" width="16.7109375" style="1430" customWidth="1"/>
    <col min="12549" max="12549" width="14.7109375" style="1430" customWidth="1"/>
    <col min="12550" max="12550" width="4.85546875" style="1430" customWidth="1"/>
    <col min="12551" max="12551" width="14.7109375" style="1430" customWidth="1"/>
    <col min="12552" max="12552" width="18.28515625" style="1430" customWidth="1"/>
    <col min="12553" max="12553" width="15.5703125" style="1430" customWidth="1"/>
    <col min="12554" max="12554" width="6.140625" style="1430" customWidth="1"/>
    <col min="12555" max="12555" width="14.7109375" style="1430" customWidth="1"/>
    <col min="12556" max="12556" width="16.140625" style="1430" customWidth="1"/>
    <col min="12557" max="12557" width="14.7109375" style="1430" customWidth="1"/>
    <col min="12558" max="12558" width="4.85546875" style="1430" customWidth="1"/>
    <col min="12559" max="12559" width="18.5703125" style="1430" customWidth="1"/>
    <col min="12560" max="12800" width="14.7109375" style="1430"/>
    <col min="12801" max="12801" width="33.140625" style="1430" customWidth="1"/>
    <col min="12802" max="12802" width="11" style="1430" customWidth="1"/>
    <col min="12803" max="12803" width="16.85546875" style="1430" customWidth="1"/>
    <col min="12804" max="12804" width="16.7109375" style="1430" customWidth="1"/>
    <col min="12805" max="12805" width="14.7109375" style="1430" customWidth="1"/>
    <col min="12806" max="12806" width="4.85546875" style="1430" customWidth="1"/>
    <col min="12807" max="12807" width="14.7109375" style="1430" customWidth="1"/>
    <col min="12808" max="12808" width="18.28515625" style="1430" customWidth="1"/>
    <col min="12809" max="12809" width="15.5703125" style="1430" customWidth="1"/>
    <col min="12810" max="12810" width="6.140625" style="1430" customWidth="1"/>
    <col min="12811" max="12811" width="14.7109375" style="1430" customWidth="1"/>
    <col min="12812" max="12812" width="16.140625" style="1430" customWidth="1"/>
    <col min="12813" max="12813" width="14.7109375" style="1430" customWidth="1"/>
    <col min="12814" max="12814" width="4.85546875" style="1430" customWidth="1"/>
    <col min="12815" max="12815" width="18.5703125" style="1430" customWidth="1"/>
    <col min="12816" max="13056" width="14.7109375" style="1430"/>
    <col min="13057" max="13057" width="33.140625" style="1430" customWidth="1"/>
    <col min="13058" max="13058" width="11" style="1430" customWidth="1"/>
    <col min="13059" max="13059" width="16.85546875" style="1430" customWidth="1"/>
    <col min="13060" max="13060" width="16.7109375" style="1430" customWidth="1"/>
    <col min="13061" max="13061" width="14.7109375" style="1430" customWidth="1"/>
    <col min="13062" max="13062" width="4.85546875" style="1430" customWidth="1"/>
    <col min="13063" max="13063" width="14.7109375" style="1430" customWidth="1"/>
    <col min="13064" max="13064" width="18.28515625" style="1430" customWidth="1"/>
    <col min="13065" max="13065" width="15.5703125" style="1430" customWidth="1"/>
    <col min="13066" max="13066" width="6.140625" style="1430" customWidth="1"/>
    <col min="13067" max="13067" width="14.7109375" style="1430" customWidth="1"/>
    <col min="13068" max="13068" width="16.140625" style="1430" customWidth="1"/>
    <col min="13069" max="13069" width="14.7109375" style="1430" customWidth="1"/>
    <col min="13070" max="13070" width="4.85546875" style="1430" customWidth="1"/>
    <col min="13071" max="13071" width="18.5703125" style="1430" customWidth="1"/>
    <col min="13072" max="13312" width="14.7109375" style="1430"/>
    <col min="13313" max="13313" width="33.140625" style="1430" customWidth="1"/>
    <col min="13314" max="13314" width="11" style="1430" customWidth="1"/>
    <col min="13315" max="13315" width="16.85546875" style="1430" customWidth="1"/>
    <col min="13316" max="13316" width="16.7109375" style="1430" customWidth="1"/>
    <col min="13317" max="13317" width="14.7109375" style="1430" customWidth="1"/>
    <col min="13318" max="13318" width="4.85546875" style="1430" customWidth="1"/>
    <col min="13319" max="13319" width="14.7109375" style="1430" customWidth="1"/>
    <col min="13320" max="13320" width="18.28515625" style="1430" customWidth="1"/>
    <col min="13321" max="13321" width="15.5703125" style="1430" customWidth="1"/>
    <col min="13322" max="13322" width="6.140625" style="1430" customWidth="1"/>
    <col min="13323" max="13323" width="14.7109375" style="1430" customWidth="1"/>
    <col min="13324" max="13324" width="16.140625" style="1430" customWidth="1"/>
    <col min="13325" max="13325" width="14.7109375" style="1430" customWidth="1"/>
    <col min="13326" max="13326" width="4.85546875" style="1430" customWidth="1"/>
    <col min="13327" max="13327" width="18.5703125" style="1430" customWidth="1"/>
    <col min="13328" max="13568" width="14.7109375" style="1430"/>
    <col min="13569" max="13569" width="33.140625" style="1430" customWidth="1"/>
    <col min="13570" max="13570" width="11" style="1430" customWidth="1"/>
    <col min="13571" max="13571" width="16.85546875" style="1430" customWidth="1"/>
    <col min="13572" max="13572" width="16.7109375" style="1430" customWidth="1"/>
    <col min="13573" max="13573" width="14.7109375" style="1430" customWidth="1"/>
    <col min="13574" max="13574" width="4.85546875" style="1430" customWidth="1"/>
    <col min="13575" max="13575" width="14.7109375" style="1430" customWidth="1"/>
    <col min="13576" max="13576" width="18.28515625" style="1430" customWidth="1"/>
    <col min="13577" max="13577" width="15.5703125" style="1430" customWidth="1"/>
    <col min="13578" max="13578" width="6.140625" style="1430" customWidth="1"/>
    <col min="13579" max="13579" width="14.7109375" style="1430" customWidth="1"/>
    <col min="13580" max="13580" width="16.140625" style="1430" customWidth="1"/>
    <col min="13581" max="13581" width="14.7109375" style="1430" customWidth="1"/>
    <col min="13582" max="13582" width="4.85546875" style="1430" customWidth="1"/>
    <col min="13583" max="13583" width="18.5703125" style="1430" customWidth="1"/>
    <col min="13584" max="13824" width="14.7109375" style="1430"/>
    <col min="13825" max="13825" width="33.140625" style="1430" customWidth="1"/>
    <col min="13826" max="13826" width="11" style="1430" customWidth="1"/>
    <col min="13827" max="13827" width="16.85546875" style="1430" customWidth="1"/>
    <col min="13828" max="13828" width="16.7109375" style="1430" customWidth="1"/>
    <col min="13829" max="13829" width="14.7109375" style="1430" customWidth="1"/>
    <col min="13830" max="13830" width="4.85546875" style="1430" customWidth="1"/>
    <col min="13831" max="13831" width="14.7109375" style="1430" customWidth="1"/>
    <col min="13832" max="13832" width="18.28515625" style="1430" customWidth="1"/>
    <col min="13833" max="13833" width="15.5703125" style="1430" customWidth="1"/>
    <col min="13834" max="13834" width="6.140625" style="1430" customWidth="1"/>
    <col min="13835" max="13835" width="14.7109375" style="1430" customWidth="1"/>
    <col min="13836" max="13836" width="16.140625" style="1430" customWidth="1"/>
    <col min="13837" max="13837" width="14.7109375" style="1430" customWidth="1"/>
    <col min="13838" max="13838" width="4.85546875" style="1430" customWidth="1"/>
    <col min="13839" max="13839" width="18.5703125" style="1430" customWidth="1"/>
    <col min="13840" max="14080" width="14.7109375" style="1430"/>
    <col min="14081" max="14081" width="33.140625" style="1430" customWidth="1"/>
    <col min="14082" max="14082" width="11" style="1430" customWidth="1"/>
    <col min="14083" max="14083" width="16.85546875" style="1430" customWidth="1"/>
    <col min="14084" max="14084" width="16.7109375" style="1430" customWidth="1"/>
    <col min="14085" max="14085" width="14.7109375" style="1430" customWidth="1"/>
    <col min="14086" max="14086" width="4.85546875" style="1430" customWidth="1"/>
    <col min="14087" max="14087" width="14.7109375" style="1430" customWidth="1"/>
    <col min="14088" max="14088" width="18.28515625" style="1430" customWidth="1"/>
    <col min="14089" max="14089" width="15.5703125" style="1430" customWidth="1"/>
    <col min="14090" max="14090" width="6.140625" style="1430" customWidth="1"/>
    <col min="14091" max="14091" width="14.7109375" style="1430" customWidth="1"/>
    <col min="14092" max="14092" width="16.140625" style="1430" customWidth="1"/>
    <col min="14093" max="14093" width="14.7109375" style="1430" customWidth="1"/>
    <col min="14094" max="14094" width="4.85546875" style="1430" customWidth="1"/>
    <col min="14095" max="14095" width="18.5703125" style="1430" customWidth="1"/>
    <col min="14096" max="14336" width="14.7109375" style="1430"/>
    <col min="14337" max="14337" width="33.140625" style="1430" customWidth="1"/>
    <col min="14338" max="14338" width="11" style="1430" customWidth="1"/>
    <col min="14339" max="14339" width="16.85546875" style="1430" customWidth="1"/>
    <col min="14340" max="14340" width="16.7109375" style="1430" customWidth="1"/>
    <col min="14341" max="14341" width="14.7109375" style="1430" customWidth="1"/>
    <col min="14342" max="14342" width="4.85546875" style="1430" customWidth="1"/>
    <col min="14343" max="14343" width="14.7109375" style="1430" customWidth="1"/>
    <col min="14344" max="14344" width="18.28515625" style="1430" customWidth="1"/>
    <col min="14345" max="14345" width="15.5703125" style="1430" customWidth="1"/>
    <col min="14346" max="14346" width="6.140625" style="1430" customWidth="1"/>
    <col min="14347" max="14347" width="14.7109375" style="1430" customWidth="1"/>
    <col min="14348" max="14348" width="16.140625" style="1430" customWidth="1"/>
    <col min="14349" max="14349" width="14.7109375" style="1430" customWidth="1"/>
    <col min="14350" max="14350" width="4.85546875" style="1430" customWidth="1"/>
    <col min="14351" max="14351" width="18.5703125" style="1430" customWidth="1"/>
    <col min="14352" max="14592" width="14.7109375" style="1430"/>
    <col min="14593" max="14593" width="33.140625" style="1430" customWidth="1"/>
    <col min="14594" max="14594" width="11" style="1430" customWidth="1"/>
    <col min="14595" max="14595" width="16.85546875" style="1430" customWidth="1"/>
    <col min="14596" max="14596" width="16.7109375" style="1430" customWidth="1"/>
    <col min="14597" max="14597" width="14.7109375" style="1430" customWidth="1"/>
    <col min="14598" max="14598" width="4.85546875" style="1430" customWidth="1"/>
    <col min="14599" max="14599" width="14.7109375" style="1430" customWidth="1"/>
    <col min="14600" max="14600" width="18.28515625" style="1430" customWidth="1"/>
    <col min="14601" max="14601" width="15.5703125" style="1430" customWidth="1"/>
    <col min="14602" max="14602" width="6.140625" style="1430" customWidth="1"/>
    <col min="14603" max="14603" width="14.7109375" style="1430" customWidth="1"/>
    <col min="14604" max="14604" width="16.140625" style="1430" customWidth="1"/>
    <col min="14605" max="14605" width="14.7109375" style="1430" customWidth="1"/>
    <col min="14606" max="14606" width="4.85546875" style="1430" customWidth="1"/>
    <col min="14607" max="14607" width="18.5703125" style="1430" customWidth="1"/>
    <col min="14608" max="14848" width="14.7109375" style="1430"/>
    <col min="14849" max="14849" width="33.140625" style="1430" customWidth="1"/>
    <col min="14850" max="14850" width="11" style="1430" customWidth="1"/>
    <col min="14851" max="14851" width="16.85546875" style="1430" customWidth="1"/>
    <col min="14852" max="14852" width="16.7109375" style="1430" customWidth="1"/>
    <col min="14853" max="14853" width="14.7109375" style="1430" customWidth="1"/>
    <col min="14854" max="14854" width="4.85546875" style="1430" customWidth="1"/>
    <col min="14855" max="14855" width="14.7109375" style="1430" customWidth="1"/>
    <col min="14856" max="14856" width="18.28515625" style="1430" customWidth="1"/>
    <col min="14857" max="14857" width="15.5703125" style="1430" customWidth="1"/>
    <col min="14858" max="14858" width="6.140625" style="1430" customWidth="1"/>
    <col min="14859" max="14859" width="14.7109375" style="1430" customWidth="1"/>
    <col min="14860" max="14860" width="16.140625" style="1430" customWidth="1"/>
    <col min="14861" max="14861" width="14.7109375" style="1430" customWidth="1"/>
    <col min="14862" max="14862" width="4.85546875" style="1430" customWidth="1"/>
    <col min="14863" max="14863" width="18.5703125" style="1430" customWidth="1"/>
    <col min="14864" max="15104" width="14.7109375" style="1430"/>
    <col min="15105" max="15105" width="33.140625" style="1430" customWidth="1"/>
    <col min="15106" max="15106" width="11" style="1430" customWidth="1"/>
    <col min="15107" max="15107" width="16.85546875" style="1430" customWidth="1"/>
    <col min="15108" max="15108" width="16.7109375" style="1430" customWidth="1"/>
    <col min="15109" max="15109" width="14.7109375" style="1430" customWidth="1"/>
    <col min="15110" max="15110" width="4.85546875" style="1430" customWidth="1"/>
    <col min="15111" max="15111" width="14.7109375" style="1430" customWidth="1"/>
    <col min="15112" max="15112" width="18.28515625" style="1430" customWidth="1"/>
    <col min="15113" max="15113" width="15.5703125" style="1430" customWidth="1"/>
    <col min="15114" max="15114" width="6.140625" style="1430" customWidth="1"/>
    <col min="15115" max="15115" width="14.7109375" style="1430" customWidth="1"/>
    <col min="15116" max="15116" width="16.140625" style="1430" customWidth="1"/>
    <col min="15117" max="15117" width="14.7109375" style="1430" customWidth="1"/>
    <col min="15118" max="15118" width="4.85546875" style="1430" customWidth="1"/>
    <col min="15119" max="15119" width="18.5703125" style="1430" customWidth="1"/>
    <col min="15120" max="15360" width="14.7109375" style="1430"/>
    <col min="15361" max="15361" width="33.140625" style="1430" customWidth="1"/>
    <col min="15362" max="15362" width="11" style="1430" customWidth="1"/>
    <col min="15363" max="15363" width="16.85546875" style="1430" customWidth="1"/>
    <col min="15364" max="15364" width="16.7109375" style="1430" customWidth="1"/>
    <col min="15365" max="15365" width="14.7109375" style="1430" customWidth="1"/>
    <col min="15366" max="15366" width="4.85546875" style="1430" customWidth="1"/>
    <col min="15367" max="15367" width="14.7109375" style="1430" customWidth="1"/>
    <col min="15368" max="15368" width="18.28515625" style="1430" customWidth="1"/>
    <col min="15369" max="15369" width="15.5703125" style="1430" customWidth="1"/>
    <col min="15370" max="15370" width="6.140625" style="1430" customWidth="1"/>
    <col min="15371" max="15371" width="14.7109375" style="1430" customWidth="1"/>
    <col min="15372" max="15372" width="16.140625" style="1430" customWidth="1"/>
    <col min="15373" max="15373" width="14.7109375" style="1430" customWidth="1"/>
    <col min="15374" max="15374" width="4.85546875" style="1430" customWidth="1"/>
    <col min="15375" max="15375" width="18.5703125" style="1430" customWidth="1"/>
    <col min="15376" max="15616" width="14.7109375" style="1430"/>
    <col min="15617" max="15617" width="33.140625" style="1430" customWidth="1"/>
    <col min="15618" max="15618" width="11" style="1430" customWidth="1"/>
    <col min="15619" max="15619" width="16.85546875" style="1430" customWidth="1"/>
    <col min="15620" max="15620" width="16.7109375" style="1430" customWidth="1"/>
    <col min="15621" max="15621" width="14.7109375" style="1430" customWidth="1"/>
    <col min="15622" max="15622" width="4.85546875" style="1430" customWidth="1"/>
    <col min="15623" max="15623" width="14.7109375" style="1430" customWidth="1"/>
    <col min="15624" max="15624" width="18.28515625" style="1430" customWidth="1"/>
    <col min="15625" max="15625" width="15.5703125" style="1430" customWidth="1"/>
    <col min="15626" max="15626" width="6.140625" style="1430" customWidth="1"/>
    <col min="15627" max="15627" width="14.7109375" style="1430" customWidth="1"/>
    <col min="15628" max="15628" width="16.140625" style="1430" customWidth="1"/>
    <col min="15629" max="15629" width="14.7109375" style="1430" customWidth="1"/>
    <col min="15630" max="15630" width="4.85546875" style="1430" customWidth="1"/>
    <col min="15631" max="15631" width="18.5703125" style="1430" customWidth="1"/>
    <col min="15632" max="15872" width="14.7109375" style="1430"/>
    <col min="15873" max="15873" width="33.140625" style="1430" customWidth="1"/>
    <col min="15874" max="15874" width="11" style="1430" customWidth="1"/>
    <col min="15875" max="15875" width="16.85546875" style="1430" customWidth="1"/>
    <col min="15876" max="15876" width="16.7109375" style="1430" customWidth="1"/>
    <col min="15877" max="15877" width="14.7109375" style="1430" customWidth="1"/>
    <col min="15878" max="15878" width="4.85546875" style="1430" customWidth="1"/>
    <col min="15879" max="15879" width="14.7109375" style="1430" customWidth="1"/>
    <col min="15880" max="15880" width="18.28515625" style="1430" customWidth="1"/>
    <col min="15881" max="15881" width="15.5703125" style="1430" customWidth="1"/>
    <col min="15882" max="15882" width="6.140625" style="1430" customWidth="1"/>
    <col min="15883" max="15883" width="14.7109375" style="1430" customWidth="1"/>
    <col min="15884" max="15884" width="16.140625" style="1430" customWidth="1"/>
    <col min="15885" max="15885" width="14.7109375" style="1430" customWidth="1"/>
    <col min="15886" max="15886" width="4.85546875" style="1430" customWidth="1"/>
    <col min="15887" max="15887" width="18.5703125" style="1430" customWidth="1"/>
    <col min="15888" max="16128" width="14.7109375" style="1430"/>
    <col min="16129" max="16129" width="33.140625" style="1430" customWidth="1"/>
    <col min="16130" max="16130" width="11" style="1430" customWidth="1"/>
    <col min="16131" max="16131" width="16.85546875" style="1430" customWidth="1"/>
    <col min="16132" max="16132" width="16.7109375" style="1430" customWidth="1"/>
    <col min="16133" max="16133" width="14.7109375" style="1430" customWidth="1"/>
    <col min="16134" max="16134" width="4.85546875" style="1430" customWidth="1"/>
    <col min="16135" max="16135" width="14.7109375" style="1430" customWidth="1"/>
    <col min="16136" max="16136" width="18.28515625" style="1430" customWidth="1"/>
    <col min="16137" max="16137" width="15.5703125" style="1430" customWidth="1"/>
    <col min="16138" max="16138" width="6.140625" style="1430" customWidth="1"/>
    <col min="16139" max="16139" width="14.7109375" style="1430" customWidth="1"/>
    <col min="16140" max="16140" width="16.140625" style="1430" customWidth="1"/>
    <col min="16141" max="16141" width="14.7109375" style="1430" customWidth="1"/>
    <col min="16142" max="16142" width="4.85546875" style="1430" customWidth="1"/>
    <col min="16143" max="16143" width="18.5703125" style="1430" customWidth="1"/>
    <col min="16144" max="16384" width="14.7109375" style="1430"/>
  </cols>
  <sheetData>
    <row r="1" spans="1:19" ht="15.75">
      <c r="A1" s="1431" t="s">
        <v>115</v>
      </c>
      <c r="B1" s="1142"/>
      <c r="C1" s="1142"/>
      <c r="D1" s="1142"/>
      <c r="E1" s="1142"/>
      <c r="F1" s="1142"/>
      <c r="G1" s="1143"/>
      <c r="H1" s="1142"/>
      <c r="I1" s="1142"/>
      <c r="J1" s="1142"/>
      <c r="K1" s="1142"/>
      <c r="L1" s="1142"/>
      <c r="M1" s="1142"/>
      <c r="N1" s="1142"/>
      <c r="O1" s="1142"/>
      <c r="P1" s="1142"/>
      <c r="Q1" s="1142"/>
      <c r="R1" s="1142"/>
      <c r="S1" s="1142"/>
    </row>
    <row r="2" spans="1:19" ht="15.75">
      <c r="A2" s="1431" t="s">
        <v>115</v>
      </c>
      <c r="B2" s="1142"/>
      <c r="C2" s="1142"/>
      <c r="D2" s="1142"/>
      <c r="E2" s="1142"/>
      <c r="F2" s="1142"/>
      <c r="G2" s="1143"/>
      <c r="H2" s="1142"/>
      <c r="I2" s="1142"/>
      <c r="J2" s="1142"/>
      <c r="K2" s="1142"/>
      <c r="L2" s="1142"/>
      <c r="M2" s="1142"/>
      <c r="N2" s="1142"/>
      <c r="O2" s="1142"/>
      <c r="P2" s="1142"/>
      <c r="Q2" s="1142"/>
      <c r="R2" s="1142"/>
      <c r="S2" s="1142"/>
    </row>
    <row r="3" spans="1:19" ht="19.5">
      <c r="A3" s="1640" t="s">
        <v>392</v>
      </c>
      <c r="B3" s="1640"/>
      <c r="C3" s="1640"/>
      <c r="D3" s="1640"/>
      <c r="E3" s="1640"/>
      <c r="F3" s="1640"/>
      <c r="G3" s="1640"/>
      <c r="H3" s="1640"/>
      <c r="I3" s="1640"/>
      <c r="J3" s="1640"/>
      <c r="K3" s="1640"/>
      <c r="L3" s="1640"/>
      <c r="M3" s="1640"/>
      <c r="N3" s="1640"/>
      <c r="O3" s="1640"/>
      <c r="P3" s="1411"/>
      <c r="Q3" s="1411"/>
      <c r="R3" s="1411"/>
      <c r="S3" s="1411"/>
    </row>
    <row r="4" spans="1:19" ht="19.5">
      <c r="A4" s="1640" t="s">
        <v>393</v>
      </c>
      <c r="B4" s="1640"/>
      <c r="C4" s="1640"/>
      <c r="D4" s="1640"/>
      <c r="E4" s="1640"/>
      <c r="F4" s="1640"/>
      <c r="G4" s="1640"/>
      <c r="H4" s="1640"/>
      <c r="I4" s="1640"/>
      <c r="J4" s="1640"/>
      <c r="K4" s="1640"/>
      <c r="L4" s="1640"/>
      <c r="M4" s="1640"/>
      <c r="N4" s="1640"/>
      <c r="O4" s="1640"/>
      <c r="P4" s="1411"/>
      <c r="Q4" s="1411"/>
      <c r="R4" s="1411"/>
      <c r="S4" s="1411"/>
    </row>
    <row r="5" spans="1:19" ht="19.5">
      <c r="A5" s="1640" t="s">
        <v>394</v>
      </c>
      <c r="B5" s="1640"/>
      <c r="C5" s="1640"/>
      <c r="D5" s="1640"/>
      <c r="E5" s="1640"/>
      <c r="F5" s="1640"/>
      <c r="G5" s="1640"/>
      <c r="H5" s="1640"/>
      <c r="I5" s="1640"/>
      <c r="J5" s="1640"/>
      <c r="K5" s="1640"/>
      <c r="L5" s="1640"/>
      <c r="M5" s="1640"/>
      <c r="N5" s="1640"/>
      <c r="O5" s="1640"/>
      <c r="P5" s="1411"/>
      <c r="Q5" s="1411"/>
      <c r="R5" s="1411"/>
      <c r="S5" s="1411"/>
    </row>
    <row r="6" spans="1:19" ht="19.5">
      <c r="A6" s="1640" t="s">
        <v>395</v>
      </c>
      <c r="B6" s="1640"/>
      <c r="C6" s="1640"/>
      <c r="D6" s="1640"/>
      <c r="E6" s="1640"/>
      <c r="F6" s="1640"/>
      <c r="G6" s="1640"/>
      <c r="H6" s="1640"/>
      <c r="I6" s="1640"/>
      <c r="J6" s="1640"/>
      <c r="K6" s="1640"/>
      <c r="L6" s="1640"/>
      <c r="M6" s="1640"/>
      <c r="N6" s="1640"/>
      <c r="O6" s="1640"/>
      <c r="P6" s="1411"/>
      <c r="Q6" s="1411"/>
      <c r="R6" s="1411"/>
      <c r="S6" s="1411"/>
    </row>
    <row r="7" spans="1:19" ht="19.5">
      <c r="A7" s="1640" t="s">
        <v>1165</v>
      </c>
      <c r="B7" s="1640"/>
      <c r="C7" s="1640"/>
      <c r="D7" s="1640"/>
      <c r="E7" s="1640"/>
      <c r="F7" s="1640"/>
      <c r="G7" s="1640"/>
      <c r="H7" s="1640"/>
      <c r="I7" s="1640"/>
      <c r="J7" s="1640"/>
      <c r="K7" s="1640"/>
      <c r="L7" s="1640"/>
      <c r="M7" s="1640"/>
      <c r="N7" s="1640"/>
      <c r="O7" s="1640"/>
      <c r="P7" s="1411"/>
      <c r="Q7" s="1411"/>
      <c r="R7" s="1411"/>
      <c r="S7" s="1411"/>
    </row>
    <row r="8" spans="1:19" ht="19.5">
      <c r="A8" s="1640" t="s">
        <v>396</v>
      </c>
      <c r="B8" s="1640"/>
      <c r="C8" s="1640"/>
      <c r="D8" s="1640"/>
      <c r="E8" s="1640"/>
      <c r="F8" s="1640"/>
      <c r="G8" s="1640"/>
      <c r="H8" s="1640"/>
      <c r="I8" s="1640"/>
      <c r="J8" s="1640"/>
      <c r="K8" s="1640"/>
      <c r="L8" s="1640"/>
      <c r="M8" s="1640"/>
      <c r="N8" s="1640"/>
      <c r="O8" s="1640"/>
      <c r="P8" s="1411"/>
      <c r="Q8" s="1411"/>
      <c r="R8" s="1411"/>
      <c r="S8" s="1411"/>
    </row>
    <row r="9" spans="1:19" ht="19.5">
      <c r="A9" s="1645" t="s">
        <v>1042</v>
      </c>
      <c r="B9" s="1645"/>
      <c r="C9" s="1645"/>
      <c r="D9" s="1645"/>
      <c r="E9" s="1645"/>
      <c r="F9" s="1645"/>
      <c r="G9" s="1645"/>
      <c r="H9" s="1645"/>
      <c r="I9" s="1645"/>
      <c r="J9" s="1645"/>
      <c r="K9" s="1645"/>
      <c r="L9" s="1645"/>
      <c r="M9" s="1645"/>
      <c r="N9" s="1645"/>
      <c r="O9" s="1645"/>
      <c r="P9" s="1411"/>
      <c r="Q9" s="1411"/>
      <c r="R9" s="1411"/>
      <c r="S9" s="1411"/>
    </row>
    <row r="10" spans="1:19" ht="19.5">
      <c r="A10" s="1646"/>
      <c r="B10" s="1646"/>
      <c r="C10" s="1646"/>
      <c r="D10" s="1646"/>
      <c r="E10" s="1646"/>
      <c r="F10" s="1646"/>
      <c r="G10" s="1646"/>
      <c r="H10" s="1646"/>
      <c r="I10" s="1646"/>
      <c r="J10" s="1646"/>
      <c r="K10" s="1646"/>
      <c r="L10" s="1646"/>
      <c r="M10" s="1646"/>
      <c r="N10" s="1646"/>
      <c r="O10" s="1646"/>
      <c r="P10" s="1412"/>
      <c r="Q10" s="1412"/>
      <c r="R10" s="1412"/>
      <c r="S10" s="1412"/>
    </row>
    <row r="11" spans="1:19" ht="15">
      <c r="A11" s="1142"/>
      <c r="B11" s="1142"/>
      <c r="C11" s="1142"/>
      <c r="D11" s="1142"/>
      <c r="E11" s="1142"/>
      <c r="F11" s="1142"/>
      <c r="G11" s="1143"/>
      <c r="H11" s="1142"/>
      <c r="I11" s="1142"/>
      <c r="J11" s="1142"/>
      <c r="K11" s="1142"/>
      <c r="L11" s="1142"/>
      <c r="M11" s="1142"/>
      <c r="N11" s="1142"/>
      <c r="O11" s="1142"/>
      <c r="P11" s="1142"/>
      <c r="Q11" s="1142"/>
      <c r="R11" s="1142"/>
      <c r="S11" s="1142"/>
    </row>
    <row r="12" spans="1:19" ht="16.5" thickBot="1">
      <c r="A12" s="1413"/>
      <c r="B12" s="1413"/>
      <c r="C12" s="1647" t="s">
        <v>599</v>
      </c>
      <c r="D12" s="1647"/>
      <c r="E12" s="1647"/>
      <c r="F12" s="1413"/>
      <c r="G12" s="1647" t="s">
        <v>600</v>
      </c>
      <c r="H12" s="1647"/>
      <c r="I12" s="1647"/>
      <c r="J12" s="1413"/>
      <c r="K12" s="1647" t="s">
        <v>397</v>
      </c>
      <c r="L12" s="1647"/>
      <c r="M12" s="1647"/>
      <c r="N12" s="1413"/>
      <c r="O12" s="1647" t="s">
        <v>601</v>
      </c>
      <c r="P12" s="1647"/>
      <c r="Q12" s="1647"/>
      <c r="R12" s="1413"/>
      <c r="S12" s="1410" t="s">
        <v>398</v>
      </c>
    </row>
    <row r="13" spans="1:19" ht="15">
      <c r="A13" s="1413"/>
      <c r="B13" s="1413"/>
      <c r="C13" s="1138" t="s">
        <v>122</v>
      </c>
      <c r="D13" s="1414"/>
      <c r="E13" s="1414"/>
      <c r="F13" s="1414"/>
      <c r="G13" s="1140" t="s">
        <v>123</v>
      </c>
      <c r="H13" s="1141"/>
      <c r="I13" s="1141"/>
      <c r="J13" s="1141"/>
      <c r="K13" s="1415" t="s">
        <v>124</v>
      </c>
      <c r="L13" s="1141"/>
      <c r="M13" s="1141"/>
      <c r="N13" s="1141"/>
      <c r="O13" s="1416" t="s">
        <v>125</v>
      </c>
      <c r="P13" s="1141"/>
      <c r="Q13" s="1141"/>
      <c r="R13" s="1141"/>
      <c r="S13" s="1141"/>
    </row>
    <row r="14" spans="1:19" ht="15">
      <c r="A14" s="1413"/>
      <c r="B14" s="1413"/>
      <c r="C14" s="1138" t="s">
        <v>115</v>
      </c>
      <c r="D14" s="1414"/>
      <c r="E14" s="1138" t="s">
        <v>399</v>
      </c>
      <c r="F14" s="1414"/>
      <c r="G14" s="1140" t="s">
        <v>602</v>
      </c>
      <c r="H14" s="1414"/>
      <c r="I14" s="1138" t="s">
        <v>399</v>
      </c>
      <c r="J14" s="1414"/>
      <c r="K14" s="1142"/>
      <c r="L14" s="1414"/>
      <c r="M14" s="1138" t="s">
        <v>399</v>
      </c>
      <c r="N14" s="1414"/>
      <c r="O14" s="1142"/>
      <c r="P14" s="1414"/>
      <c r="Q14" s="1138" t="s">
        <v>399</v>
      </c>
      <c r="R14" s="1414"/>
      <c r="S14" s="1138" t="s">
        <v>399</v>
      </c>
    </row>
    <row r="15" spans="1:19" ht="15">
      <c r="A15" s="1413"/>
      <c r="B15" s="1138" t="s">
        <v>400</v>
      </c>
      <c r="C15" s="1138" t="s">
        <v>603</v>
      </c>
      <c r="D15" s="1138" t="s">
        <v>401</v>
      </c>
      <c r="E15" s="1138" t="s">
        <v>402</v>
      </c>
      <c r="F15" s="1414"/>
      <c r="G15" s="1140" t="s">
        <v>403</v>
      </c>
      <c r="H15" s="1138" t="s">
        <v>401</v>
      </c>
      <c r="I15" s="1138" t="s">
        <v>402</v>
      </c>
      <c r="J15" s="1414"/>
      <c r="K15" s="1138" t="s">
        <v>81</v>
      </c>
      <c r="L15" s="1138" t="s">
        <v>401</v>
      </c>
      <c r="M15" s="1138" t="s">
        <v>402</v>
      </c>
      <c r="N15" s="1414"/>
      <c r="O15" s="1138" t="s">
        <v>81</v>
      </c>
      <c r="P15" s="1138" t="s">
        <v>401</v>
      </c>
      <c r="Q15" s="1138" t="s">
        <v>402</v>
      </c>
      <c r="R15" s="1414"/>
      <c r="S15" s="1138" t="s">
        <v>402</v>
      </c>
    </row>
    <row r="16" spans="1:19" ht="15">
      <c r="A16" s="1138"/>
      <c r="B16" s="1138" t="s">
        <v>404</v>
      </c>
      <c r="C16" s="1138" t="s">
        <v>405</v>
      </c>
      <c r="D16" s="1138" t="s">
        <v>604</v>
      </c>
      <c r="E16" s="1138" t="s">
        <v>406</v>
      </c>
      <c r="F16" s="1414"/>
      <c r="G16" s="1140" t="s">
        <v>405</v>
      </c>
      <c r="H16" s="1138" t="s">
        <v>604</v>
      </c>
      <c r="I16" s="1138" t="s">
        <v>406</v>
      </c>
      <c r="J16" s="1414"/>
      <c r="K16" s="1138" t="s">
        <v>405</v>
      </c>
      <c r="L16" s="1138" t="s">
        <v>604</v>
      </c>
      <c r="M16" s="1138" t="s">
        <v>406</v>
      </c>
      <c r="N16" s="1414"/>
      <c r="O16" s="1138" t="s">
        <v>405</v>
      </c>
      <c r="P16" s="1138" t="s">
        <v>604</v>
      </c>
      <c r="Q16" s="1138" t="s">
        <v>406</v>
      </c>
      <c r="R16" s="1414"/>
      <c r="S16" s="1138" t="s">
        <v>406</v>
      </c>
    </row>
    <row r="17" spans="1:19" ht="15">
      <c r="A17" s="1142"/>
      <c r="B17" s="1142"/>
      <c r="C17" s="1142"/>
      <c r="D17" s="1142"/>
      <c r="E17" s="1142"/>
      <c r="F17" s="1142"/>
      <c r="G17" s="1143"/>
      <c r="H17" s="1142"/>
      <c r="I17" s="1142"/>
      <c r="J17" s="1142"/>
      <c r="K17" s="1142"/>
      <c r="L17" s="1142"/>
      <c r="M17" s="1142"/>
      <c r="N17" s="1142"/>
      <c r="O17" s="1142"/>
      <c r="P17" s="1142"/>
      <c r="Q17" s="1142"/>
      <c r="R17" s="1142"/>
      <c r="S17" s="1142"/>
    </row>
    <row r="18" spans="1:19" ht="15.75" thickBot="1">
      <c r="A18" s="1417"/>
      <c r="B18" s="1413"/>
      <c r="C18" s="1418"/>
      <c r="D18" s="1413"/>
      <c r="E18" s="1413"/>
      <c r="F18" s="1413"/>
      <c r="G18" s="1418"/>
      <c r="H18" s="1413"/>
      <c r="I18" s="1413"/>
      <c r="J18" s="1413"/>
      <c r="K18" s="1418"/>
      <c r="L18" s="1413"/>
      <c r="M18" s="1413"/>
      <c r="N18" s="1413"/>
      <c r="O18" s="1418"/>
      <c r="P18" s="1413"/>
      <c r="Q18" s="1413"/>
      <c r="R18" s="1413"/>
      <c r="S18" s="1413"/>
    </row>
    <row r="19" spans="1:19" ht="15">
      <c r="A19" s="1443" t="s">
        <v>1166</v>
      </c>
      <c r="B19" s="1444"/>
      <c r="C19" s="1445"/>
      <c r="D19" s="1446"/>
      <c r="E19" s="1447"/>
      <c r="F19" s="1444"/>
      <c r="G19" s="1445"/>
      <c r="H19" s="1448"/>
      <c r="I19" s="1447"/>
      <c r="J19" s="1444"/>
      <c r="K19" s="1444"/>
      <c r="L19" s="1448"/>
      <c r="M19" s="1447"/>
      <c r="N19" s="1444"/>
      <c r="O19" s="1444"/>
      <c r="P19" s="1446"/>
      <c r="Q19" s="1447"/>
      <c r="R19" s="1444"/>
      <c r="S19" s="1449"/>
    </row>
    <row r="20" spans="1:19" ht="15.75">
      <c r="A20" s="1450" t="s">
        <v>1167</v>
      </c>
      <c r="B20" s="1451">
        <v>350.1</v>
      </c>
      <c r="C20" s="1452">
        <v>6.5839999999999996E-3</v>
      </c>
      <c r="D20" s="1453">
        <v>1</v>
      </c>
      <c r="E20" s="1452">
        <v>6.6E-3</v>
      </c>
      <c r="F20" s="1454"/>
      <c r="G20" s="1452"/>
      <c r="H20" s="1455"/>
      <c r="I20" s="1456"/>
      <c r="J20" s="1454"/>
      <c r="K20" s="1452"/>
      <c r="L20" s="1455"/>
      <c r="M20" s="1456"/>
      <c r="N20" s="1454"/>
      <c r="O20" s="1452"/>
      <c r="P20" s="1453"/>
      <c r="Q20" s="1456"/>
      <c r="R20" s="1454"/>
      <c r="S20" s="1457">
        <v>6.6E-3</v>
      </c>
    </row>
    <row r="21" spans="1:19" ht="15.75">
      <c r="A21" s="1450"/>
      <c r="B21" s="1451">
        <v>351</v>
      </c>
      <c r="C21" s="1452"/>
      <c r="D21" s="1455"/>
      <c r="E21" s="1452"/>
      <c r="F21" s="1454"/>
      <c r="G21" s="1452">
        <v>0.14219999999999999</v>
      </c>
      <c r="H21" s="1455">
        <v>1</v>
      </c>
      <c r="I21" s="1452">
        <v>0.14219999999999999</v>
      </c>
      <c r="J21" s="1454"/>
      <c r="K21" s="1452"/>
      <c r="L21" s="1455"/>
      <c r="M21" s="1452"/>
      <c r="N21" s="1454"/>
      <c r="O21" s="1452"/>
      <c r="P21" s="1455"/>
      <c r="Q21" s="1452"/>
      <c r="R21" s="1454"/>
      <c r="S21" s="1457">
        <v>0.14219999999999999</v>
      </c>
    </row>
    <row r="22" spans="1:19" ht="15">
      <c r="A22" s="1458"/>
      <c r="B22" s="1451">
        <v>352</v>
      </c>
      <c r="C22" s="1452">
        <v>2.2200000000000001E-2</v>
      </c>
      <c r="D22" s="1455">
        <v>0.51122100000000004</v>
      </c>
      <c r="E22" s="1452">
        <v>1.1299999999999999E-2</v>
      </c>
      <c r="F22" s="1454"/>
      <c r="G22" s="1452">
        <v>1.6199999999999999E-2</v>
      </c>
      <c r="H22" s="1455">
        <v>0.39937400000000001</v>
      </c>
      <c r="I22" s="1452">
        <v>6.4999999999999997E-3</v>
      </c>
      <c r="J22" s="1454"/>
      <c r="K22" s="1452">
        <v>2.1899999999999999E-2</v>
      </c>
      <c r="L22" s="1455">
        <v>3.3013000000000001E-2</v>
      </c>
      <c r="M22" s="1452">
        <v>6.9999999999999999E-4</v>
      </c>
      <c r="N22" s="1454"/>
      <c r="O22" s="1452">
        <v>2.1899999999999999E-2</v>
      </c>
      <c r="P22" s="1455">
        <v>5.6391999999999998E-2</v>
      </c>
      <c r="Q22" s="1452">
        <v>1.1999999999999999E-3</v>
      </c>
      <c r="R22" s="1454"/>
      <c r="S22" s="1457">
        <v>1.9699999999999999E-2</v>
      </c>
    </row>
    <row r="23" spans="1:19" ht="15">
      <c r="A23" s="1458"/>
      <c r="B23" s="1451">
        <v>353</v>
      </c>
      <c r="C23" s="1452">
        <v>2.75E-2</v>
      </c>
      <c r="D23" s="1455">
        <v>0.51122100000000004</v>
      </c>
      <c r="E23" s="1452">
        <v>1.41E-2</v>
      </c>
      <c r="F23" s="1454"/>
      <c r="G23" s="1452">
        <v>2.3699999999999999E-2</v>
      </c>
      <c r="H23" s="1455">
        <v>0.39937400000000001</v>
      </c>
      <c r="I23" s="1452">
        <v>9.4999999999999998E-3</v>
      </c>
      <c r="J23" s="1454"/>
      <c r="K23" s="1452">
        <v>2.1899999999999999E-2</v>
      </c>
      <c r="L23" s="1455">
        <v>3.3013000000000001E-2</v>
      </c>
      <c r="M23" s="1452">
        <v>6.9999999999999999E-4</v>
      </c>
      <c r="N23" s="1454"/>
      <c r="O23" s="1452">
        <v>2.1899999999999999E-2</v>
      </c>
      <c r="P23" s="1455">
        <v>5.6391999999999998E-2</v>
      </c>
      <c r="Q23" s="1452">
        <v>1.1999999999999999E-3</v>
      </c>
      <c r="R23" s="1454"/>
      <c r="S23" s="1457">
        <v>2.5499999999999998E-2</v>
      </c>
    </row>
    <row r="24" spans="1:19" ht="15">
      <c r="A24" s="1458"/>
      <c r="B24" s="1451">
        <v>354</v>
      </c>
      <c r="C24" s="1452">
        <v>1.6299999999999999E-2</v>
      </c>
      <c r="D24" s="1455">
        <v>0.51122100000000004</v>
      </c>
      <c r="E24" s="1452">
        <v>8.3000000000000001E-3</v>
      </c>
      <c r="F24" s="1454"/>
      <c r="G24" s="1452">
        <v>1.5900000000000001E-2</v>
      </c>
      <c r="H24" s="1455">
        <v>0.39937400000000001</v>
      </c>
      <c r="I24" s="1452">
        <v>6.4000000000000003E-3</v>
      </c>
      <c r="J24" s="1454"/>
      <c r="K24" s="1452">
        <v>2.1899999999999999E-2</v>
      </c>
      <c r="L24" s="1455">
        <v>3.3013000000000001E-2</v>
      </c>
      <c r="M24" s="1452">
        <v>6.9999999999999999E-4</v>
      </c>
      <c r="N24" s="1454"/>
      <c r="O24" s="1452">
        <v>2.1899999999999999E-2</v>
      </c>
      <c r="P24" s="1455">
        <v>5.6391999999999998E-2</v>
      </c>
      <c r="Q24" s="1452">
        <v>1.1999999999999999E-3</v>
      </c>
      <c r="R24" s="1454"/>
      <c r="S24" s="1457">
        <v>1.66E-2</v>
      </c>
    </row>
    <row r="25" spans="1:19" ht="15">
      <c r="A25" s="1458"/>
      <c r="B25" s="1451">
        <v>355</v>
      </c>
      <c r="C25" s="1452">
        <v>3.7199999999999997E-2</v>
      </c>
      <c r="D25" s="1455">
        <v>0.51122100000000004</v>
      </c>
      <c r="E25" s="1452">
        <v>1.9E-2</v>
      </c>
      <c r="F25" s="1454"/>
      <c r="G25" s="1452">
        <v>2.7099999999999999E-2</v>
      </c>
      <c r="H25" s="1455">
        <v>0.39937400000000001</v>
      </c>
      <c r="I25" s="1452">
        <v>1.0800000000000001E-2</v>
      </c>
      <c r="J25" s="1454"/>
      <c r="K25" s="1452">
        <v>2.1899999999999999E-2</v>
      </c>
      <c r="L25" s="1455">
        <v>3.3013000000000001E-2</v>
      </c>
      <c r="M25" s="1452">
        <v>6.9999999999999999E-4</v>
      </c>
      <c r="N25" s="1454"/>
      <c r="O25" s="1452">
        <v>2.1899999999999999E-2</v>
      </c>
      <c r="P25" s="1455">
        <v>5.6391999999999998E-2</v>
      </c>
      <c r="Q25" s="1452">
        <v>1.1999999999999999E-3</v>
      </c>
      <c r="R25" s="1454"/>
      <c r="S25" s="1457">
        <v>3.1699999999999999E-2</v>
      </c>
    </row>
    <row r="26" spans="1:19" ht="15">
      <c r="A26" s="1458"/>
      <c r="B26" s="1451">
        <v>356</v>
      </c>
      <c r="C26" s="1452">
        <v>1.9900000000000001E-2</v>
      </c>
      <c r="D26" s="1455">
        <v>0.51122100000000004</v>
      </c>
      <c r="E26" s="1452">
        <v>1.0200000000000001E-2</v>
      </c>
      <c r="F26" s="1454"/>
      <c r="G26" s="1452">
        <v>1.5299999999999999E-2</v>
      </c>
      <c r="H26" s="1455">
        <v>0.39937400000000001</v>
      </c>
      <c r="I26" s="1452">
        <v>6.1000000000000004E-3</v>
      </c>
      <c r="J26" s="1454"/>
      <c r="K26" s="1452">
        <v>2.1899999999999999E-2</v>
      </c>
      <c r="L26" s="1455">
        <v>3.3013000000000001E-2</v>
      </c>
      <c r="M26" s="1452">
        <v>6.9999999999999999E-4</v>
      </c>
      <c r="N26" s="1454"/>
      <c r="O26" s="1452">
        <v>2.1899999999999999E-2</v>
      </c>
      <c r="P26" s="1455">
        <v>5.6391999999999998E-2</v>
      </c>
      <c r="Q26" s="1452">
        <v>1.1999999999999999E-3</v>
      </c>
      <c r="R26" s="1454"/>
      <c r="S26" s="1457">
        <v>1.8200000000000001E-2</v>
      </c>
    </row>
    <row r="27" spans="1:19" ht="15">
      <c r="A27" s="1458"/>
      <c r="B27" s="1451">
        <v>357</v>
      </c>
      <c r="C27" s="1452">
        <v>2.4E-2</v>
      </c>
      <c r="D27" s="1455">
        <v>0.51122100000000004</v>
      </c>
      <c r="E27" s="1452">
        <v>1.23E-2</v>
      </c>
      <c r="F27" s="1454"/>
      <c r="G27" s="1452">
        <v>3.7100000000000001E-2</v>
      </c>
      <c r="H27" s="1455">
        <v>0.39937400000000001</v>
      </c>
      <c r="I27" s="1452">
        <v>1.4800000000000001E-2</v>
      </c>
      <c r="J27" s="1454"/>
      <c r="K27" s="1452">
        <v>2.1899999999999999E-2</v>
      </c>
      <c r="L27" s="1455">
        <v>3.3013000000000001E-2</v>
      </c>
      <c r="M27" s="1452">
        <v>6.9999999999999999E-4</v>
      </c>
      <c r="N27" s="1454"/>
      <c r="O27" s="1452">
        <v>2.1899999999999999E-2</v>
      </c>
      <c r="P27" s="1455">
        <v>5.6391999999999998E-2</v>
      </c>
      <c r="Q27" s="1452">
        <v>1.1999999999999999E-3</v>
      </c>
      <c r="R27" s="1454"/>
      <c r="S27" s="1457">
        <v>2.9000000000000001E-2</v>
      </c>
    </row>
    <row r="28" spans="1:19" ht="15">
      <c r="A28" s="1458"/>
      <c r="B28" s="1451">
        <v>358</v>
      </c>
      <c r="C28" s="1452">
        <v>4.6399999999999997E-2</v>
      </c>
      <c r="D28" s="1455">
        <v>0.51122100000000004</v>
      </c>
      <c r="E28" s="1452">
        <v>2.3699999999999999E-2</v>
      </c>
      <c r="F28" s="1454"/>
      <c r="G28" s="1452">
        <v>5.2400000000000002E-2</v>
      </c>
      <c r="H28" s="1455">
        <v>0.39937400000000001</v>
      </c>
      <c r="I28" s="1452">
        <v>2.0899999999999998E-2</v>
      </c>
      <c r="J28" s="1454"/>
      <c r="K28" s="1452">
        <v>2.1899999999999999E-2</v>
      </c>
      <c r="L28" s="1455">
        <v>3.3013000000000001E-2</v>
      </c>
      <c r="M28" s="1452">
        <v>6.9999999999999999E-4</v>
      </c>
      <c r="N28" s="1454"/>
      <c r="O28" s="1452">
        <v>2.1899999999999999E-2</v>
      </c>
      <c r="P28" s="1455">
        <v>5.6391999999999998E-2</v>
      </c>
      <c r="Q28" s="1452">
        <v>1.1999999999999999E-3</v>
      </c>
      <c r="R28" s="1454"/>
      <c r="S28" s="1457">
        <v>4.65E-2</v>
      </c>
    </row>
    <row r="29" spans="1:19" ht="15.75" thickBot="1">
      <c r="A29" s="1142"/>
      <c r="B29" s="1413"/>
      <c r="C29" s="1418"/>
      <c r="D29" s="1424"/>
      <c r="E29" s="1143"/>
      <c r="F29" s="1413"/>
      <c r="G29" s="1418"/>
      <c r="H29" s="1424"/>
      <c r="I29" s="1143"/>
      <c r="J29" s="1413"/>
      <c r="K29" s="1418"/>
      <c r="L29" s="1424"/>
      <c r="M29" s="1143"/>
      <c r="N29" s="1413"/>
      <c r="O29" s="1418"/>
      <c r="P29" s="1424"/>
      <c r="Q29" s="1418"/>
      <c r="R29" s="1413"/>
      <c r="S29" s="1418"/>
    </row>
    <row r="30" spans="1:19" ht="15">
      <c r="A30" s="1459" t="s">
        <v>957</v>
      </c>
      <c r="B30" s="1460"/>
      <c r="C30" s="1461"/>
      <c r="D30" s="1462"/>
      <c r="E30" s="1463"/>
      <c r="F30" s="1460"/>
      <c r="G30" s="1461"/>
      <c r="H30" s="1462"/>
      <c r="I30" s="1463"/>
      <c r="J30" s="1460"/>
      <c r="K30" s="1460"/>
      <c r="L30" s="1462"/>
      <c r="M30" s="1463"/>
      <c r="N30" s="1460"/>
      <c r="O30" s="1460"/>
      <c r="P30" s="1462"/>
      <c r="Q30" s="1463"/>
      <c r="R30" s="1460"/>
      <c r="S30" s="1464"/>
    </row>
    <row r="31" spans="1:19" ht="15">
      <c r="A31" s="1465"/>
      <c r="B31" s="1466">
        <v>390</v>
      </c>
      <c r="C31" s="1467">
        <v>2.06E-2</v>
      </c>
      <c r="D31" s="1468">
        <v>0.523756</v>
      </c>
      <c r="E31" s="1467">
        <v>1.0800000000000001E-2</v>
      </c>
      <c r="F31" s="1469"/>
      <c r="G31" s="1467">
        <v>1.9099999999999999E-2</v>
      </c>
      <c r="H31" s="1468">
        <v>0.42593999999999999</v>
      </c>
      <c r="I31" s="1467">
        <v>8.0999999999999996E-3</v>
      </c>
      <c r="J31" s="1469"/>
      <c r="K31" s="1467">
        <v>3.4300000000000004E-2</v>
      </c>
      <c r="L31" s="1468">
        <v>1.9295E-2</v>
      </c>
      <c r="M31" s="1467">
        <v>6.9999999999999999E-4</v>
      </c>
      <c r="N31" s="1469"/>
      <c r="O31" s="1467">
        <v>3.4300000000000004E-2</v>
      </c>
      <c r="P31" s="1468">
        <v>3.1008999999999998E-2</v>
      </c>
      <c r="Q31" s="1467">
        <v>1.1000000000000001E-3</v>
      </c>
      <c r="R31" s="1469"/>
      <c r="S31" s="1470">
        <v>2.07E-2</v>
      </c>
    </row>
    <row r="32" spans="1:19" ht="15">
      <c r="A32" s="1465"/>
      <c r="B32" s="1466">
        <v>391</v>
      </c>
      <c r="C32" s="1467">
        <v>3.2500000000000001E-2</v>
      </c>
      <c r="D32" s="1471">
        <v>0.523756</v>
      </c>
      <c r="E32" s="1467">
        <v>1.7000000000000001E-2</v>
      </c>
      <c r="F32" s="1469"/>
      <c r="G32" s="1467">
        <v>3.1699999999999999E-2</v>
      </c>
      <c r="H32" s="1471">
        <v>0.42593999999999999</v>
      </c>
      <c r="I32" s="1467">
        <v>1.35E-2</v>
      </c>
      <c r="J32" s="1469"/>
      <c r="K32" s="1467">
        <v>3.4300000000000004E-2</v>
      </c>
      <c r="L32" s="1471">
        <v>1.9295E-2</v>
      </c>
      <c r="M32" s="1467">
        <v>6.9999999999999999E-4</v>
      </c>
      <c r="N32" s="1469"/>
      <c r="O32" s="1467">
        <v>3.4300000000000004E-2</v>
      </c>
      <c r="P32" s="1471">
        <v>3.1008999999999998E-2</v>
      </c>
      <c r="Q32" s="1467">
        <v>1.1000000000000001E-3</v>
      </c>
      <c r="R32" s="1469"/>
      <c r="S32" s="1470">
        <v>3.2300000000000002E-2</v>
      </c>
    </row>
    <row r="33" spans="1:19" ht="15">
      <c r="A33" s="1465"/>
      <c r="B33" s="1466">
        <v>392</v>
      </c>
      <c r="C33" s="1467">
        <v>3.4500000000000003E-2</v>
      </c>
      <c r="D33" s="1471">
        <v>0.523756</v>
      </c>
      <c r="E33" s="1467">
        <v>1.8100000000000002E-2</v>
      </c>
      <c r="F33" s="1469"/>
      <c r="G33" s="1467">
        <v>3.4000000000000002E-2</v>
      </c>
      <c r="H33" s="1471">
        <v>0.42593999999999999</v>
      </c>
      <c r="I33" s="1467">
        <v>1.4500000000000001E-2</v>
      </c>
      <c r="J33" s="1469"/>
      <c r="K33" s="1467">
        <v>3.4300000000000004E-2</v>
      </c>
      <c r="L33" s="1471">
        <v>1.9295E-2</v>
      </c>
      <c r="M33" s="1467">
        <v>6.9999999999999999E-4</v>
      </c>
      <c r="N33" s="1469"/>
      <c r="O33" s="1467">
        <v>3.4300000000000004E-2</v>
      </c>
      <c r="P33" s="1471">
        <v>3.1008999999999998E-2</v>
      </c>
      <c r="Q33" s="1467">
        <v>1.1000000000000001E-3</v>
      </c>
      <c r="R33" s="1469"/>
      <c r="S33" s="1470">
        <v>3.44E-2</v>
      </c>
    </row>
    <row r="34" spans="1:19" ht="15">
      <c r="A34" s="1465"/>
      <c r="B34" s="1466">
        <v>393</v>
      </c>
      <c r="C34" s="1467">
        <v>1.78E-2</v>
      </c>
      <c r="D34" s="1471">
        <v>0.523756</v>
      </c>
      <c r="E34" s="1467">
        <v>9.2999999999999992E-3</v>
      </c>
      <c r="F34" s="1469"/>
      <c r="G34" s="1467">
        <v>1.7999999999999999E-2</v>
      </c>
      <c r="H34" s="1471">
        <v>0.42593999999999999</v>
      </c>
      <c r="I34" s="1467">
        <v>7.7000000000000002E-3</v>
      </c>
      <c r="J34" s="1469"/>
      <c r="K34" s="1467">
        <v>3.4300000000000004E-2</v>
      </c>
      <c r="L34" s="1471">
        <v>1.9295E-2</v>
      </c>
      <c r="M34" s="1467">
        <v>6.9999999999999999E-4</v>
      </c>
      <c r="N34" s="1469"/>
      <c r="O34" s="1467">
        <v>3.4300000000000004E-2</v>
      </c>
      <c r="P34" s="1471">
        <v>3.1008999999999998E-2</v>
      </c>
      <c r="Q34" s="1467">
        <v>1.1000000000000001E-3</v>
      </c>
      <c r="R34" s="1469"/>
      <c r="S34" s="1470">
        <v>1.8800000000000001E-2</v>
      </c>
    </row>
    <row r="35" spans="1:19" ht="15.75" customHeight="1">
      <c r="A35" s="1465"/>
      <c r="B35" s="1466">
        <v>394</v>
      </c>
      <c r="C35" s="1467">
        <v>2.5899999999999999E-2</v>
      </c>
      <c r="D35" s="1471">
        <v>0.523756</v>
      </c>
      <c r="E35" s="1467">
        <v>1.3599999999999999E-2</v>
      </c>
      <c r="F35" s="1469"/>
      <c r="G35" s="1467">
        <v>2.5700000000000001E-2</v>
      </c>
      <c r="H35" s="1471">
        <v>0.42593999999999999</v>
      </c>
      <c r="I35" s="1467">
        <v>1.09E-2</v>
      </c>
      <c r="J35" s="1469"/>
      <c r="K35" s="1467">
        <v>3.4300000000000004E-2</v>
      </c>
      <c r="L35" s="1471">
        <v>1.9295E-2</v>
      </c>
      <c r="M35" s="1467">
        <v>6.9999999999999999E-4</v>
      </c>
      <c r="N35" s="1469"/>
      <c r="O35" s="1467">
        <v>3.4300000000000004E-2</v>
      </c>
      <c r="P35" s="1471">
        <v>3.1008999999999998E-2</v>
      </c>
      <c r="Q35" s="1467">
        <v>1.1000000000000001E-3</v>
      </c>
      <c r="R35" s="1469"/>
      <c r="S35" s="1470">
        <v>2.63E-2</v>
      </c>
    </row>
    <row r="36" spans="1:19" ht="15.75" customHeight="1">
      <c r="A36" s="1465"/>
      <c r="B36" s="1466">
        <v>395</v>
      </c>
      <c r="C36" s="1467">
        <v>3.5000000000000003E-2</v>
      </c>
      <c r="D36" s="1471">
        <v>0.523756</v>
      </c>
      <c r="E36" s="1467">
        <v>1.83E-2</v>
      </c>
      <c r="F36" s="1469"/>
      <c r="G36" s="1467">
        <v>4.0099999999999997E-2</v>
      </c>
      <c r="H36" s="1471">
        <v>0.42593999999999999</v>
      </c>
      <c r="I36" s="1467">
        <v>1.7100000000000001E-2</v>
      </c>
      <c r="J36" s="1469"/>
      <c r="K36" s="1467">
        <v>3.4300000000000004E-2</v>
      </c>
      <c r="L36" s="1471">
        <v>1.9295E-2</v>
      </c>
      <c r="M36" s="1467">
        <v>6.9999999999999999E-4</v>
      </c>
      <c r="N36" s="1469"/>
      <c r="O36" s="1467">
        <v>3.4300000000000004E-2</v>
      </c>
      <c r="P36" s="1471">
        <v>3.1008999999999998E-2</v>
      </c>
      <c r="Q36" s="1467">
        <v>1.1000000000000001E-3</v>
      </c>
      <c r="R36" s="1469"/>
      <c r="S36" s="1470">
        <v>3.7199999999999997E-2</v>
      </c>
    </row>
    <row r="37" spans="1:19" ht="15.75" customHeight="1">
      <c r="A37" s="1465"/>
      <c r="B37" s="1466">
        <v>396</v>
      </c>
      <c r="C37" s="1467">
        <v>4.1599999999999998E-2</v>
      </c>
      <c r="D37" s="1471">
        <v>0.523756</v>
      </c>
      <c r="E37" s="1467">
        <v>2.18E-2</v>
      </c>
      <c r="F37" s="1469"/>
      <c r="G37" s="1467">
        <v>3.9E-2</v>
      </c>
      <c r="H37" s="1471">
        <v>0.42593999999999999</v>
      </c>
      <c r="I37" s="1467">
        <v>1.66E-2</v>
      </c>
      <c r="J37" s="1469"/>
      <c r="K37" s="1467">
        <v>3.4300000000000004E-2</v>
      </c>
      <c r="L37" s="1471">
        <v>1.9295E-2</v>
      </c>
      <c r="M37" s="1467">
        <v>6.9999999999999999E-4</v>
      </c>
      <c r="N37" s="1469"/>
      <c r="O37" s="1467">
        <v>3.4300000000000004E-2</v>
      </c>
      <c r="P37" s="1471">
        <v>3.1008999999999998E-2</v>
      </c>
      <c r="Q37" s="1467">
        <v>1.1000000000000001E-3</v>
      </c>
      <c r="R37" s="1469"/>
      <c r="S37" s="1470">
        <v>4.02E-2</v>
      </c>
    </row>
    <row r="38" spans="1:19" ht="15">
      <c r="A38" s="1465"/>
      <c r="B38" s="1466">
        <v>397</v>
      </c>
      <c r="C38" s="1467">
        <v>5.0200000000000002E-2</v>
      </c>
      <c r="D38" s="1471">
        <v>0.523756</v>
      </c>
      <c r="E38" s="1467">
        <v>2.63E-2</v>
      </c>
      <c r="F38" s="1469"/>
      <c r="G38" s="1467">
        <v>4.9799999999999997E-2</v>
      </c>
      <c r="H38" s="1471">
        <v>0.42593999999999999</v>
      </c>
      <c r="I38" s="1467">
        <v>2.12E-2</v>
      </c>
      <c r="J38" s="1469"/>
      <c r="K38" s="1467">
        <v>3.4300000000000004E-2</v>
      </c>
      <c r="L38" s="1471">
        <v>1.9295E-2</v>
      </c>
      <c r="M38" s="1467">
        <v>6.9999999999999999E-4</v>
      </c>
      <c r="N38" s="1469"/>
      <c r="O38" s="1467">
        <v>3.4300000000000004E-2</v>
      </c>
      <c r="P38" s="1471">
        <v>3.1008999999999998E-2</v>
      </c>
      <c r="Q38" s="1467">
        <v>1.1000000000000001E-3</v>
      </c>
      <c r="R38" s="1469"/>
      <c r="S38" s="1470">
        <v>4.9299999999999997E-2</v>
      </c>
    </row>
    <row r="39" spans="1:19" ht="15">
      <c r="A39" s="1465"/>
      <c r="B39" s="1466">
        <v>398</v>
      </c>
      <c r="C39" s="1467">
        <v>2.7099999999999999E-2</v>
      </c>
      <c r="D39" s="1471">
        <v>0.523756</v>
      </c>
      <c r="E39" s="1467">
        <v>1.4200000000000001E-2</v>
      </c>
      <c r="F39" s="1469"/>
      <c r="G39" s="1467">
        <v>2.7E-2</v>
      </c>
      <c r="H39" s="1471">
        <v>0.42593999999999999</v>
      </c>
      <c r="I39" s="1467">
        <v>1.15E-2</v>
      </c>
      <c r="J39" s="1469"/>
      <c r="K39" s="1467">
        <v>3.4300000000000004E-2</v>
      </c>
      <c r="L39" s="1471">
        <v>1.9295E-2</v>
      </c>
      <c r="M39" s="1467">
        <v>6.9999999999999999E-4</v>
      </c>
      <c r="N39" s="1469"/>
      <c r="O39" s="1467">
        <v>3.4300000000000004E-2</v>
      </c>
      <c r="P39" s="1471">
        <v>3.1008999999999998E-2</v>
      </c>
      <c r="Q39" s="1467">
        <v>1.1000000000000001E-3</v>
      </c>
      <c r="R39" s="1469"/>
      <c r="S39" s="1470">
        <v>2.75E-2</v>
      </c>
    </row>
    <row r="40" spans="1:19" ht="15.75" thickBot="1">
      <c r="A40" s="1472"/>
      <c r="B40" s="1473"/>
      <c r="C40" s="1474"/>
      <c r="D40" s="1475"/>
      <c r="E40" s="1476"/>
      <c r="F40" s="1473"/>
      <c r="G40" s="1476"/>
      <c r="H40" s="1475"/>
      <c r="I40" s="1476"/>
      <c r="J40" s="1473"/>
      <c r="K40" s="1474"/>
      <c r="L40" s="1475"/>
      <c r="M40" s="1476"/>
      <c r="N40" s="1473"/>
      <c r="O40" s="1474"/>
      <c r="P40" s="1475"/>
      <c r="Q40" s="1476"/>
      <c r="R40" s="1473"/>
      <c r="S40" s="1476"/>
    </row>
    <row r="41" spans="1:19" ht="15">
      <c r="A41" s="1142"/>
      <c r="B41" s="1413"/>
      <c r="C41" s="1418"/>
      <c r="D41" s="1142"/>
      <c r="E41" s="1142"/>
      <c r="F41" s="1142"/>
      <c r="G41" s="1143"/>
      <c r="H41" s="1142"/>
      <c r="I41" s="1142"/>
      <c r="J41" s="1142"/>
      <c r="K41" s="1142"/>
      <c r="L41" s="1142"/>
      <c r="M41" s="1142"/>
      <c r="N41" s="1142"/>
      <c r="O41" s="1142"/>
      <c r="P41" s="1142"/>
      <c r="Q41" s="1142"/>
      <c r="R41" s="1142"/>
      <c r="S41" s="1142"/>
    </row>
    <row r="42" spans="1:19" ht="15" customHeight="1">
      <c r="A42" s="1641" t="s">
        <v>1168</v>
      </c>
      <c r="B42" s="1641"/>
      <c r="C42" s="1641"/>
      <c r="D42" s="1641"/>
      <c r="E42" s="1477"/>
      <c r="F42" s="1478" t="s">
        <v>124</v>
      </c>
      <c r="G42" s="1479" t="s">
        <v>1043</v>
      </c>
      <c r="H42" s="1480"/>
      <c r="I42" s="1477"/>
      <c r="J42" s="1477"/>
      <c r="K42" s="1477"/>
      <c r="L42" s="1481" t="s">
        <v>606</v>
      </c>
      <c r="M42" s="1477" t="s">
        <v>1169</v>
      </c>
      <c r="N42" s="1477"/>
      <c r="O42" s="1477"/>
      <c r="P42" s="1477"/>
      <c r="Q42" s="1477"/>
      <c r="R42" s="1477"/>
      <c r="S42" s="1477"/>
    </row>
    <row r="43" spans="1:19" ht="15">
      <c r="A43" s="1641"/>
      <c r="B43" s="1641"/>
      <c r="C43" s="1641"/>
      <c r="D43" s="1641"/>
      <c r="E43" s="1477"/>
      <c r="F43" s="1478"/>
      <c r="G43" s="1477"/>
      <c r="H43" s="1480"/>
      <c r="I43" s="1477"/>
      <c r="J43" s="1477"/>
      <c r="K43" s="1477"/>
      <c r="L43" s="1477"/>
      <c r="M43" s="1477" t="s">
        <v>1170</v>
      </c>
      <c r="N43" s="1477"/>
      <c r="O43" s="1477"/>
      <c r="P43" s="1477"/>
      <c r="Q43" s="1477"/>
      <c r="R43" s="1477"/>
      <c r="S43" s="1477"/>
    </row>
    <row r="44" spans="1:19" ht="15" customHeight="1">
      <c r="A44" s="1641"/>
      <c r="B44" s="1641"/>
      <c r="C44" s="1641"/>
      <c r="D44" s="1641"/>
      <c r="E44" s="1477"/>
      <c r="F44" s="1482"/>
      <c r="G44" s="1477"/>
      <c r="H44" s="1480"/>
      <c r="I44" s="1477"/>
      <c r="J44" s="1477"/>
      <c r="K44" s="1477"/>
      <c r="L44" s="1477"/>
      <c r="M44" s="1477" t="s">
        <v>607</v>
      </c>
      <c r="N44" s="1477"/>
      <c r="O44" s="1477"/>
      <c r="P44" s="1477"/>
      <c r="Q44" s="1477"/>
      <c r="R44" s="1477"/>
      <c r="S44" s="1477"/>
    </row>
    <row r="45" spans="1:19" ht="15">
      <c r="A45" s="1641"/>
      <c r="B45" s="1641"/>
      <c r="C45" s="1641"/>
      <c r="D45" s="1641"/>
      <c r="E45" s="1477"/>
      <c r="F45" s="1481" t="s">
        <v>605</v>
      </c>
      <c r="G45" s="1479" t="s">
        <v>1044</v>
      </c>
      <c r="H45" s="1477"/>
      <c r="I45" s="1477"/>
      <c r="J45" s="1477"/>
      <c r="K45" s="1477"/>
      <c r="L45" s="1477"/>
      <c r="M45" s="1477"/>
      <c r="N45" s="1477"/>
      <c r="O45" s="1477"/>
      <c r="P45" s="1477"/>
      <c r="Q45" s="1477"/>
      <c r="R45" s="1477"/>
      <c r="S45" s="1477"/>
    </row>
    <row r="46" spans="1:19" ht="15.75" customHeight="1">
      <c r="A46" s="1641"/>
      <c r="B46" s="1641"/>
      <c r="C46" s="1641"/>
      <c r="D46" s="1641"/>
      <c r="E46" s="1477"/>
      <c r="F46" s="1482"/>
      <c r="G46" s="1477"/>
      <c r="H46" s="1480"/>
      <c r="I46" s="1477"/>
      <c r="J46" s="1477"/>
      <c r="K46" s="1477"/>
      <c r="L46" s="1481" t="s">
        <v>608</v>
      </c>
      <c r="M46" s="1477" t="s">
        <v>1047</v>
      </c>
      <c r="N46" s="1477"/>
      <c r="O46" s="1477"/>
      <c r="P46" s="1477"/>
      <c r="Q46" s="1477"/>
      <c r="R46" s="1477"/>
      <c r="S46" s="1477"/>
    </row>
    <row r="47" spans="1:19" ht="15.75" customHeight="1">
      <c r="A47" s="1477" t="s">
        <v>1171</v>
      </c>
      <c r="B47" s="1483"/>
      <c r="C47" s="1484"/>
      <c r="D47" s="1483"/>
      <c r="E47" s="1483"/>
      <c r="F47" s="1481"/>
      <c r="G47" s="1477"/>
      <c r="H47" s="1480"/>
      <c r="I47" s="1477"/>
      <c r="J47" s="1477"/>
      <c r="K47" s="1477"/>
      <c r="L47" s="1477"/>
      <c r="M47" s="1477" t="s">
        <v>1048</v>
      </c>
      <c r="N47" s="1477"/>
      <c r="O47" s="1477"/>
      <c r="P47" s="1477"/>
      <c r="Q47" s="1477"/>
      <c r="R47" s="1477"/>
      <c r="S47" s="1477"/>
    </row>
    <row r="48" spans="1:19" ht="15.75" customHeight="1">
      <c r="A48" s="1477"/>
      <c r="B48" s="1483"/>
      <c r="C48" s="1484"/>
      <c r="D48" s="1485"/>
      <c r="E48" s="1485"/>
      <c r="F48" s="1486"/>
      <c r="G48" s="1477"/>
      <c r="H48" s="1477"/>
      <c r="I48" s="1477"/>
      <c r="J48" s="1477"/>
      <c r="K48" s="1477"/>
      <c r="L48" s="1477"/>
      <c r="M48" s="1477"/>
      <c r="N48" s="1477"/>
      <c r="O48" s="1487"/>
      <c r="P48" s="1477"/>
      <c r="Q48" s="1477"/>
      <c r="R48" s="1477"/>
      <c r="S48" s="1477"/>
    </row>
    <row r="49" spans="1:19" ht="15.75">
      <c r="A49" s="1477" t="s">
        <v>1045</v>
      </c>
      <c r="B49" s="1483"/>
      <c r="C49" s="1484"/>
      <c r="D49" s="1483"/>
      <c r="E49" s="1483"/>
      <c r="F49" s="1477"/>
      <c r="G49" s="1477"/>
      <c r="H49" s="1477"/>
      <c r="I49" s="1477"/>
      <c r="J49" s="1477"/>
      <c r="K49" s="1477"/>
      <c r="L49" s="1481" t="s">
        <v>1172</v>
      </c>
      <c r="M49" s="1642" t="s">
        <v>1173</v>
      </c>
      <c r="N49" s="1642"/>
      <c r="O49" s="1642"/>
      <c r="P49" s="1642"/>
      <c r="Q49" s="1642"/>
      <c r="R49" s="1642"/>
      <c r="S49" s="1642"/>
    </row>
    <row r="50" spans="1:19" ht="15.75" customHeight="1">
      <c r="A50" s="1477" t="s">
        <v>1046</v>
      </c>
      <c r="B50" s="1483"/>
      <c r="C50" s="1484"/>
      <c r="D50" s="1483"/>
      <c r="E50" s="1483"/>
      <c r="F50" s="1477"/>
      <c r="G50" s="1477"/>
      <c r="H50" s="1477"/>
      <c r="I50" s="1477"/>
      <c r="J50" s="1477"/>
      <c r="K50" s="1477"/>
      <c r="L50" s="1477"/>
      <c r="M50" s="1642"/>
      <c r="N50" s="1642"/>
      <c r="O50" s="1642"/>
      <c r="P50" s="1642"/>
      <c r="Q50" s="1642"/>
      <c r="R50" s="1642"/>
      <c r="S50" s="1642"/>
    </row>
    <row r="51" spans="1:19" ht="15.75">
      <c r="A51" s="1477"/>
      <c r="B51" s="1483"/>
      <c r="C51" s="1484"/>
      <c r="D51" s="1485"/>
      <c r="E51" s="1485"/>
      <c r="F51" s="1477"/>
      <c r="G51" s="1477"/>
      <c r="H51" s="1477"/>
      <c r="I51" s="1477"/>
      <c r="J51" s="1477"/>
      <c r="K51" s="1477"/>
      <c r="L51" s="1477"/>
      <c r="M51" s="1642"/>
      <c r="N51" s="1642"/>
      <c r="O51" s="1642"/>
      <c r="P51" s="1642"/>
      <c r="Q51" s="1642"/>
      <c r="R51" s="1642"/>
      <c r="S51" s="1642"/>
    </row>
    <row r="52" spans="1:19" ht="15">
      <c r="A52" s="1427"/>
      <c r="B52" s="1428"/>
      <c r="C52" s="1428"/>
      <c r="D52" s="1429"/>
      <c r="E52" s="1142"/>
      <c r="F52" s="1142"/>
      <c r="G52" s="1143"/>
      <c r="H52" s="1142"/>
      <c r="I52" s="1142"/>
      <c r="J52" s="1142"/>
      <c r="K52" s="1142"/>
      <c r="L52" s="1142"/>
      <c r="M52" s="1142"/>
      <c r="N52" s="1142"/>
      <c r="O52" s="1426"/>
      <c r="P52" s="1142"/>
      <c r="Q52" s="1142"/>
      <c r="R52" s="1142"/>
      <c r="S52" s="1142"/>
    </row>
    <row r="53" spans="1:19" ht="15" customHeight="1">
      <c r="A53" s="1643"/>
      <c r="B53" s="1643"/>
      <c r="C53" s="1643"/>
      <c r="D53" s="1643"/>
      <c r="E53" s="1643"/>
      <c r="F53" s="1643"/>
      <c r="G53" s="1643"/>
      <c r="H53" s="1643"/>
      <c r="I53" s="1643"/>
      <c r="J53" s="1643"/>
      <c r="K53" s="1643"/>
      <c r="L53" s="1643"/>
      <c r="M53" s="1643"/>
      <c r="N53" s="1643"/>
      <c r="O53" s="1142"/>
      <c r="P53" s="1142"/>
      <c r="Q53" s="1142"/>
      <c r="R53" s="1142"/>
      <c r="S53" s="1142"/>
    </row>
    <row r="54" spans="1:19" ht="15">
      <c r="A54" s="1643"/>
      <c r="B54" s="1643"/>
      <c r="C54" s="1643"/>
      <c r="D54" s="1643"/>
      <c r="E54" s="1643"/>
      <c r="F54" s="1643"/>
      <c r="G54" s="1643"/>
      <c r="H54" s="1643"/>
      <c r="I54" s="1643"/>
      <c r="J54" s="1643"/>
      <c r="K54" s="1643"/>
      <c r="L54" s="1643"/>
      <c r="M54" s="1643"/>
      <c r="N54" s="1643"/>
      <c r="O54" s="1142"/>
      <c r="P54" s="1142"/>
      <c r="Q54" s="1142"/>
      <c r="R54" s="1142"/>
      <c r="S54" s="1142"/>
    </row>
    <row r="55" spans="1:19" ht="15" customHeight="1">
      <c r="A55" s="1644"/>
      <c r="B55" s="1644"/>
      <c r="C55" s="1644"/>
      <c r="D55" s="1644"/>
      <c r="E55" s="1644"/>
      <c r="F55" s="1644"/>
      <c r="G55" s="1644"/>
      <c r="H55" s="1644"/>
      <c r="I55" s="1644"/>
      <c r="J55" s="1644"/>
      <c r="K55" s="1644"/>
      <c r="L55" s="1644"/>
      <c r="M55" s="1644"/>
      <c r="N55" s="1644"/>
      <c r="O55" s="1142"/>
      <c r="P55" s="1142"/>
      <c r="Q55" s="1142"/>
      <c r="R55" s="1142"/>
      <c r="S55" s="1142"/>
    </row>
    <row r="56" spans="1:19" ht="15">
      <c r="A56" s="1644"/>
      <c r="B56" s="1644"/>
      <c r="C56" s="1644"/>
      <c r="D56" s="1644"/>
      <c r="E56" s="1644"/>
      <c r="F56" s="1644"/>
      <c r="G56" s="1644"/>
      <c r="H56" s="1644"/>
      <c r="I56" s="1644"/>
      <c r="J56" s="1644"/>
      <c r="K56" s="1644"/>
      <c r="L56" s="1644"/>
      <c r="M56" s="1644"/>
      <c r="N56" s="1644"/>
      <c r="O56" s="1142"/>
      <c r="P56" s="1142"/>
      <c r="Q56" s="1142"/>
      <c r="R56" s="1142"/>
      <c r="S56" s="1142"/>
    </row>
  </sheetData>
  <mergeCells count="16">
    <mergeCell ref="A42:D46"/>
    <mergeCell ref="M49:S51"/>
    <mergeCell ref="A53:N54"/>
    <mergeCell ref="A55:N56"/>
    <mergeCell ref="A9:O9"/>
    <mergeCell ref="A10:O10"/>
    <mergeCell ref="C12:E12"/>
    <mergeCell ref="G12:I12"/>
    <mergeCell ref="K12:M12"/>
    <mergeCell ref="O12:Q12"/>
    <mergeCell ref="A8:O8"/>
    <mergeCell ref="A3:O3"/>
    <mergeCell ref="A4:O4"/>
    <mergeCell ref="A5:O5"/>
    <mergeCell ref="A6:O6"/>
    <mergeCell ref="A7:O7"/>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C8C5C-70F9-4C9E-899B-03C497B3ADCB}">
  <dimension ref="A1:K58"/>
  <sheetViews>
    <sheetView view="pageBreakPreview" topLeftCell="A17" zoomScale="60" zoomScaleNormal="70" workbookViewId="0">
      <selection activeCell="A2" sqref="A2"/>
    </sheetView>
  </sheetViews>
  <sheetFormatPr defaultColWidth="9.140625" defaultRowHeight="12.75"/>
  <cols>
    <col min="1" max="1" width="34.28515625" style="1430" customWidth="1"/>
    <col min="2" max="2" width="9.140625" style="1430"/>
    <col min="3" max="3" width="11.85546875" style="1430" customWidth="1"/>
    <col min="4" max="4" width="18.28515625" style="1430" customWidth="1"/>
    <col min="5" max="5" width="12.5703125" style="1430" customWidth="1"/>
    <col min="6" max="6" width="9.140625" style="1430"/>
    <col min="7" max="7" width="12.140625" style="1430" customWidth="1"/>
    <col min="8" max="8" width="18.85546875" style="1430" customWidth="1"/>
    <col min="9" max="9" width="15.5703125" style="1430" bestFit="1" customWidth="1"/>
    <col min="10" max="16384" width="9.140625" style="1430"/>
  </cols>
  <sheetData>
    <row r="1" spans="1:11" s="1142" customFormat="1" ht="15.75">
      <c r="A1" s="1431" t="s">
        <v>115</v>
      </c>
      <c r="G1" s="1143"/>
    </row>
    <row r="2" spans="1:11" s="1142" customFormat="1" ht="15.75">
      <c r="A2" s="1431" t="s">
        <v>115</v>
      </c>
      <c r="G2" s="1143"/>
    </row>
    <row r="3" spans="1:11" ht="19.5">
      <c r="A3" s="1640" t="s">
        <v>392</v>
      </c>
      <c r="B3" s="1640"/>
      <c r="C3" s="1640"/>
      <c r="D3" s="1640"/>
      <c r="E3" s="1640"/>
      <c r="F3" s="1640"/>
      <c r="G3" s="1640"/>
      <c r="H3" s="1640"/>
      <c r="I3" s="1640"/>
      <c r="J3" s="1640"/>
      <c r="K3" s="1640"/>
    </row>
    <row r="4" spans="1:11" ht="19.5">
      <c r="A4" s="1640" t="s">
        <v>393</v>
      </c>
      <c r="B4" s="1640"/>
      <c r="C4" s="1640"/>
      <c r="D4" s="1640"/>
      <c r="E4" s="1640"/>
      <c r="F4" s="1640"/>
      <c r="G4" s="1640"/>
      <c r="H4" s="1640"/>
      <c r="I4" s="1640"/>
      <c r="J4" s="1640"/>
      <c r="K4" s="1640"/>
    </row>
    <row r="5" spans="1:11" ht="19.5">
      <c r="A5" s="1640" t="s">
        <v>394</v>
      </c>
      <c r="B5" s="1640"/>
      <c r="C5" s="1640"/>
      <c r="D5" s="1640"/>
      <c r="E5" s="1640"/>
      <c r="F5" s="1640"/>
      <c r="G5" s="1640"/>
      <c r="H5" s="1640"/>
      <c r="I5" s="1640"/>
      <c r="J5" s="1640"/>
      <c r="K5" s="1640"/>
    </row>
    <row r="6" spans="1:11" ht="19.5">
      <c r="A6" s="1640" t="s">
        <v>395</v>
      </c>
      <c r="B6" s="1640"/>
      <c r="C6" s="1640"/>
      <c r="D6" s="1640"/>
      <c r="E6" s="1640"/>
      <c r="F6" s="1640"/>
      <c r="G6" s="1640"/>
      <c r="H6" s="1640"/>
      <c r="I6" s="1640"/>
      <c r="J6" s="1640"/>
      <c r="K6" s="1640"/>
    </row>
    <row r="7" spans="1:11" ht="19.5">
      <c r="A7" s="1640" t="s">
        <v>1174</v>
      </c>
      <c r="B7" s="1640"/>
      <c r="C7" s="1640"/>
      <c r="D7" s="1640"/>
      <c r="E7" s="1640"/>
      <c r="F7" s="1640"/>
      <c r="G7" s="1640"/>
      <c r="H7" s="1640"/>
      <c r="I7" s="1640"/>
      <c r="J7" s="1640"/>
      <c r="K7" s="1640"/>
    </row>
    <row r="8" spans="1:11" ht="19.5">
      <c r="A8" s="1640" t="s">
        <v>396</v>
      </c>
      <c r="B8" s="1640"/>
      <c r="C8" s="1640"/>
      <c r="D8" s="1640"/>
      <c r="E8" s="1640"/>
      <c r="F8" s="1640"/>
      <c r="G8" s="1640"/>
      <c r="H8" s="1640"/>
      <c r="I8" s="1640"/>
      <c r="J8" s="1640"/>
      <c r="K8" s="1640"/>
    </row>
    <row r="9" spans="1:11" ht="19.5">
      <c r="A9" s="1640" t="s">
        <v>761</v>
      </c>
      <c r="B9" s="1640"/>
      <c r="C9" s="1640"/>
      <c r="D9" s="1640"/>
      <c r="E9" s="1640"/>
      <c r="F9" s="1640"/>
      <c r="G9" s="1640"/>
      <c r="H9" s="1640"/>
      <c r="I9" s="1640"/>
      <c r="J9" s="1640"/>
      <c r="K9" s="1640"/>
    </row>
    <row r="10" spans="1:11" ht="19.5">
      <c r="A10" s="1649"/>
      <c r="B10" s="1649"/>
      <c r="C10" s="1649"/>
      <c r="D10" s="1649"/>
      <c r="E10" s="1649"/>
      <c r="F10" s="1649"/>
      <c r="G10" s="1649"/>
      <c r="H10" s="1649"/>
      <c r="I10" s="1649"/>
      <c r="J10" s="1649"/>
      <c r="K10" s="1649"/>
    </row>
    <row r="11" spans="1:11" ht="16.5" thickBot="1">
      <c r="A11" s="1136"/>
      <c r="B11" s="1136"/>
      <c r="C11" s="1647" t="s">
        <v>762</v>
      </c>
      <c r="D11" s="1647"/>
      <c r="E11" s="1647"/>
      <c r="F11" s="1136"/>
      <c r="G11" s="1647" t="s">
        <v>1049</v>
      </c>
      <c r="H11" s="1647"/>
      <c r="I11" s="1647"/>
      <c r="J11" s="1136"/>
      <c r="K11" s="1410" t="s">
        <v>398</v>
      </c>
    </row>
    <row r="12" spans="1:11" ht="15.75">
      <c r="A12" s="1137"/>
      <c r="B12" s="1136"/>
      <c r="C12" s="1138" t="s">
        <v>122</v>
      </c>
      <c r="D12" s="1139"/>
      <c r="E12" s="1139"/>
      <c r="F12" s="1139"/>
      <c r="G12" s="1140" t="s">
        <v>123</v>
      </c>
      <c r="H12" s="1141"/>
      <c r="I12" s="1141"/>
      <c r="J12" s="1141"/>
      <c r="K12" s="1141"/>
    </row>
    <row r="13" spans="1:11" ht="15">
      <c r="A13" s="1136"/>
      <c r="B13" s="1136"/>
      <c r="C13" s="1138" t="s">
        <v>115</v>
      </c>
      <c r="D13" s="1139"/>
      <c r="E13" s="1138" t="s">
        <v>399</v>
      </c>
      <c r="F13" s="1139"/>
      <c r="G13" s="1140" t="s">
        <v>763</v>
      </c>
      <c r="H13" s="1139"/>
      <c r="I13" s="1138" t="s">
        <v>399</v>
      </c>
      <c r="J13" s="1139"/>
      <c r="K13" s="1138" t="s">
        <v>399</v>
      </c>
    </row>
    <row r="14" spans="1:11" ht="15">
      <c r="A14" s="1136"/>
      <c r="B14" s="1138" t="s">
        <v>400</v>
      </c>
      <c r="C14" s="1138" t="s">
        <v>764</v>
      </c>
      <c r="D14" s="1138" t="s">
        <v>401</v>
      </c>
      <c r="E14" s="1138" t="s">
        <v>402</v>
      </c>
      <c r="F14" s="1139"/>
      <c r="G14" s="1140" t="s">
        <v>403</v>
      </c>
      <c r="H14" s="1138" t="s">
        <v>401</v>
      </c>
      <c r="I14" s="1138" t="s">
        <v>402</v>
      </c>
      <c r="J14" s="1139"/>
      <c r="K14" s="1138" t="s">
        <v>402</v>
      </c>
    </row>
    <row r="15" spans="1:11" ht="15">
      <c r="A15" s="1138"/>
      <c r="B15" s="1138" t="s">
        <v>404</v>
      </c>
      <c r="C15" s="1138" t="s">
        <v>405</v>
      </c>
      <c r="D15" s="1138" t="s">
        <v>765</v>
      </c>
      <c r="E15" s="1138" t="s">
        <v>406</v>
      </c>
      <c r="F15" s="1139"/>
      <c r="G15" s="1140" t="s">
        <v>405</v>
      </c>
      <c r="H15" s="1138" t="s">
        <v>765</v>
      </c>
      <c r="I15" s="1138" t="s">
        <v>406</v>
      </c>
      <c r="J15" s="1139"/>
      <c r="K15" s="1138" t="s">
        <v>406</v>
      </c>
    </row>
    <row r="16" spans="1:11" ht="15">
      <c r="A16" s="1142"/>
      <c r="B16" s="1142"/>
      <c r="C16" s="1142"/>
      <c r="D16" s="1142"/>
      <c r="E16" s="1142"/>
      <c r="F16" s="1142"/>
      <c r="G16" s="1143"/>
      <c r="H16" s="1142"/>
      <c r="I16" s="1142"/>
      <c r="J16" s="1142"/>
      <c r="K16" s="1142"/>
    </row>
    <row r="17" spans="1:11" ht="15.75" thickBot="1">
      <c r="A17" s="1144"/>
      <c r="B17" s="1136"/>
      <c r="C17" s="1418"/>
      <c r="D17" s="1136"/>
      <c r="E17" s="1136"/>
      <c r="F17" s="1136"/>
      <c r="G17" s="1145"/>
      <c r="H17" s="1136"/>
      <c r="I17" s="1136"/>
      <c r="J17" s="1136"/>
      <c r="K17" s="1136"/>
    </row>
    <row r="18" spans="1:11" ht="15">
      <c r="A18" s="1146" t="s">
        <v>407</v>
      </c>
      <c r="B18" s="1147"/>
      <c r="C18" s="1419"/>
      <c r="D18" s="1420"/>
      <c r="E18" s="1421"/>
      <c r="F18" s="1147"/>
      <c r="G18" s="1421"/>
      <c r="H18" s="1422"/>
      <c r="I18" s="1421"/>
      <c r="J18" s="1147"/>
      <c r="K18" s="1421"/>
    </row>
    <row r="19" spans="1:11" ht="15">
      <c r="A19" s="1142" t="s">
        <v>766</v>
      </c>
      <c r="B19" s="1488">
        <v>350.1</v>
      </c>
      <c r="C19" s="1489">
        <v>1.77E-2</v>
      </c>
      <c r="D19" s="1490">
        <v>0.71390960000000003</v>
      </c>
      <c r="E19" s="1491">
        <v>1.2636E-2</v>
      </c>
      <c r="F19" s="1492"/>
      <c r="G19" s="1489">
        <v>1.7500000000000002E-2</v>
      </c>
      <c r="H19" s="1490">
        <v>0.28609040000000002</v>
      </c>
      <c r="I19" s="1491">
        <v>5.0070000000000002E-3</v>
      </c>
      <c r="J19" s="1492"/>
      <c r="K19" s="1489">
        <v>1.7600000000000001E-2</v>
      </c>
    </row>
    <row r="20" spans="1:11" ht="15">
      <c r="A20" s="1142" t="s">
        <v>408</v>
      </c>
      <c r="B20" s="1488">
        <v>352</v>
      </c>
      <c r="C20" s="1489">
        <v>1.8599999999999998E-2</v>
      </c>
      <c r="D20" s="1490">
        <v>0.71390960000000003</v>
      </c>
      <c r="E20" s="1491">
        <v>1.3278999999999999E-2</v>
      </c>
      <c r="F20" s="1492"/>
      <c r="G20" s="1489">
        <v>1.8499999999999999E-2</v>
      </c>
      <c r="H20" s="1490">
        <v>0.28609040000000002</v>
      </c>
      <c r="I20" s="1491">
        <v>5.293E-3</v>
      </c>
      <c r="J20" s="1492"/>
      <c r="K20" s="1489">
        <v>1.8599999999999998E-2</v>
      </c>
    </row>
    <row r="21" spans="1:11" ht="15">
      <c r="A21" s="1142" t="s">
        <v>409</v>
      </c>
      <c r="B21" s="1488">
        <v>353</v>
      </c>
      <c r="C21" s="1489">
        <v>2.7199999999999998E-2</v>
      </c>
      <c r="D21" s="1490">
        <v>0.71390960000000003</v>
      </c>
      <c r="E21" s="1491">
        <v>1.9418000000000001E-2</v>
      </c>
      <c r="F21" s="1492"/>
      <c r="G21" s="1489">
        <v>2.69E-2</v>
      </c>
      <c r="H21" s="1490">
        <v>0.28609040000000002</v>
      </c>
      <c r="I21" s="1491">
        <v>7.6959999999999997E-3</v>
      </c>
      <c r="J21" s="1492"/>
      <c r="K21" s="1489">
        <v>2.7099999999999999E-2</v>
      </c>
    </row>
    <row r="22" spans="1:11" ht="15">
      <c r="A22" s="1142" t="s">
        <v>410</v>
      </c>
      <c r="B22" s="1488">
        <v>354</v>
      </c>
      <c r="C22" s="1489">
        <v>2.8199999999999999E-2</v>
      </c>
      <c r="D22" s="1490">
        <v>0.71390960000000003</v>
      </c>
      <c r="E22" s="1491">
        <v>2.0132000000000001E-2</v>
      </c>
      <c r="F22" s="1492"/>
      <c r="G22" s="1489">
        <v>2.7300000000000001E-2</v>
      </c>
      <c r="H22" s="1490">
        <v>0.28609040000000002</v>
      </c>
      <c r="I22" s="1491">
        <v>7.8100000000000001E-3</v>
      </c>
      <c r="J22" s="1492"/>
      <c r="K22" s="1489">
        <v>2.7900000000000001E-2</v>
      </c>
    </row>
    <row r="23" spans="1:11" ht="15">
      <c r="A23" s="1142" t="s">
        <v>411</v>
      </c>
      <c r="B23" s="1488">
        <v>355</v>
      </c>
      <c r="C23" s="1489">
        <v>3.3500000000000002E-2</v>
      </c>
      <c r="D23" s="1490">
        <v>0.71390960000000003</v>
      </c>
      <c r="E23" s="1491">
        <v>2.3916E-2</v>
      </c>
      <c r="F23" s="1492"/>
      <c r="G23" s="1489">
        <v>3.3399999999999999E-2</v>
      </c>
      <c r="H23" s="1490">
        <v>0.28609040000000002</v>
      </c>
      <c r="I23" s="1491">
        <v>9.5549999999999993E-3</v>
      </c>
      <c r="J23" s="1492"/>
      <c r="K23" s="1489">
        <v>3.3500000000000002E-2</v>
      </c>
    </row>
    <row r="24" spans="1:11" ht="15">
      <c r="A24" s="1142" t="s">
        <v>767</v>
      </c>
      <c r="B24" s="1488">
        <v>356</v>
      </c>
      <c r="C24" s="1489">
        <v>2.3E-2</v>
      </c>
      <c r="D24" s="1490">
        <v>0.71390960000000003</v>
      </c>
      <c r="E24" s="1491">
        <v>1.6420000000000001E-2</v>
      </c>
      <c r="F24" s="1492"/>
      <c r="G24" s="1489">
        <v>2.2599999999999999E-2</v>
      </c>
      <c r="H24" s="1490">
        <v>0.28609040000000002</v>
      </c>
      <c r="I24" s="1491">
        <v>6.4660000000000004E-3</v>
      </c>
      <c r="J24" s="1492"/>
      <c r="K24" s="1489">
        <v>2.29E-2</v>
      </c>
    </row>
    <row r="25" spans="1:11" ht="15">
      <c r="A25" s="1142" t="s">
        <v>412</v>
      </c>
      <c r="B25" s="1488">
        <v>357</v>
      </c>
      <c r="C25" s="1489">
        <v>1.8800000000000001E-2</v>
      </c>
      <c r="D25" s="1490">
        <v>0.71390960000000003</v>
      </c>
      <c r="E25" s="1491">
        <v>1.3422E-2</v>
      </c>
      <c r="F25" s="1492"/>
      <c r="G25" s="1489">
        <v>1.8800000000000001E-2</v>
      </c>
      <c r="H25" s="1490">
        <v>0.28609040000000002</v>
      </c>
      <c r="I25" s="1491">
        <v>5.378E-3</v>
      </c>
      <c r="J25" s="1492"/>
      <c r="K25" s="1489">
        <v>1.8800000000000001E-2</v>
      </c>
    </row>
    <row r="26" spans="1:11" ht="15">
      <c r="A26" s="1142" t="s">
        <v>413</v>
      </c>
      <c r="B26" s="1488">
        <v>358</v>
      </c>
      <c r="C26" s="1489">
        <v>2.1399999999999999E-2</v>
      </c>
      <c r="D26" s="1490">
        <v>0.71390960000000003</v>
      </c>
      <c r="E26" s="1491">
        <v>1.5278E-2</v>
      </c>
      <c r="F26" s="1492"/>
      <c r="G26" s="1489">
        <v>2.1299999999999999E-2</v>
      </c>
      <c r="H26" s="1490">
        <v>0.28609040000000002</v>
      </c>
      <c r="I26" s="1491">
        <v>6.0939999999999996E-3</v>
      </c>
      <c r="J26" s="1492"/>
      <c r="K26" s="1489">
        <v>2.1399999999999999E-2</v>
      </c>
    </row>
    <row r="27" spans="1:11" ht="15">
      <c r="A27" s="1142" t="s">
        <v>768</v>
      </c>
      <c r="B27" s="1488">
        <v>359</v>
      </c>
      <c r="C27" s="1489">
        <v>1.7000000000000001E-2</v>
      </c>
      <c r="D27" s="1490">
        <v>0.71390960000000003</v>
      </c>
      <c r="E27" s="1491">
        <v>1.2135999999999999E-2</v>
      </c>
      <c r="F27" s="1492"/>
      <c r="G27" s="1489">
        <v>1.6799999999999999E-2</v>
      </c>
      <c r="H27" s="1490">
        <v>0.28609040000000002</v>
      </c>
      <c r="I27" s="1491">
        <v>4.8060000000000004E-3</v>
      </c>
      <c r="J27" s="1492"/>
      <c r="K27" s="1489">
        <v>1.6899999999999998E-2</v>
      </c>
    </row>
    <row r="28" spans="1:11" ht="15">
      <c r="A28" s="1142"/>
      <c r="B28" s="1142"/>
      <c r="C28" s="1142"/>
      <c r="D28" s="1142"/>
      <c r="E28" s="1142"/>
      <c r="F28" s="1142"/>
      <c r="G28" s="1142"/>
      <c r="H28" s="1142"/>
      <c r="I28" s="1142"/>
      <c r="J28" s="1142"/>
      <c r="K28" s="1142"/>
    </row>
    <row r="29" spans="1:11" ht="15.75" thickBot="1">
      <c r="A29" s="1142"/>
      <c r="B29" s="1142"/>
      <c r="C29" s="1142"/>
      <c r="D29" s="1142"/>
      <c r="E29" s="1142"/>
      <c r="F29" s="1142"/>
      <c r="G29" s="1142"/>
      <c r="H29" s="1142"/>
      <c r="I29" s="1142"/>
      <c r="J29" s="1142"/>
      <c r="K29" s="1142"/>
    </row>
    <row r="30" spans="1:11" ht="15">
      <c r="A30" s="1493" t="s">
        <v>957</v>
      </c>
      <c r="B30" s="1494"/>
      <c r="C30" s="1495"/>
      <c r="D30" s="1496"/>
      <c r="E30" s="1497"/>
      <c r="F30" s="1494"/>
      <c r="G30" s="1498"/>
      <c r="H30" s="1496"/>
      <c r="I30" s="1497"/>
      <c r="J30" s="1494"/>
      <c r="K30" s="1142"/>
    </row>
    <row r="31" spans="1:11" ht="15">
      <c r="A31" s="1499"/>
      <c r="B31" s="1500">
        <v>390</v>
      </c>
      <c r="C31" s="1501">
        <v>2.4500000000000001E-2</v>
      </c>
      <c r="D31" s="1502">
        <v>0.72727090000000005</v>
      </c>
      <c r="E31" s="1503">
        <v>1.7818000000000001E-2</v>
      </c>
      <c r="F31" s="1504"/>
      <c r="G31" s="1501">
        <v>2.46E-2</v>
      </c>
      <c r="H31" s="1502">
        <v>0.2727291</v>
      </c>
      <c r="I31" s="1503">
        <v>6.7089999999999997E-3</v>
      </c>
      <c r="J31" s="1504"/>
      <c r="K31" s="1501">
        <v>2.4500000000000001E-2</v>
      </c>
    </row>
    <row r="32" spans="1:11" ht="15">
      <c r="A32" s="1499"/>
      <c r="B32" s="1500">
        <v>391</v>
      </c>
      <c r="C32" s="1501">
        <v>5.5599999999999997E-2</v>
      </c>
      <c r="D32" s="1502">
        <v>0.72727090000000005</v>
      </c>
      <c r="E32" s="1503">
        <v>4.0436E-2</v>
      </c>
      <c r="F32" s="1504"/>
      <c r="G32" s="1501">
        <v>5.6500000000000002E-2</v>
      </c>
      <c r="H32" s="1502">
        <v>0.2727291</v>
      </c>
      <c r="I32" s="1503">
        <v>1.5409000000000001E-2</v>
      </c>
      <c r="J32" s="1504"/>
      <c r="K32" s="1501">
        <v>5.5800000000000002E-2</v>
      </c>
    </row>
    <row r="33" spans="1:11" ht="15">
      <c r="A33" s="1505" t="s">
        <v>1050</v>
      </c>
      <c r="B33" s="1500">
        <v>392</v>
      </c>
      <c r="C33" s="1501">
        <v>5.0999999999999997E-2</v>
      </c>
      <c r="D33" s="1502">
        <v>0.72727090000000005</v>
      </c>
      <c r="E33" s="1503">
        <v>3.7090999999999999E-2</v>
      </c>
      <c r="F33" s="1504"/>
      <c r="G33" s="1501">
        <v>5.0999999999999997E-2</v>
      </c>
      <c r="H33" s="1502">
        <v>0.2727291</v>
      </c>
      <c r="I33" s="1503">
        <v>1.3908999999999999E-2</v>
      </c>
      <c r="J33" s="1504"/>
      <c r="K33" s="1501">
        <v>5.0999999999999997E-2</v>
      </c>
    </row>
    <row r="34" spans="1:11" ht="15">
      <c r="A34" s="1499"/>
      <c r="B34" s="1500">
        <v>393</v>
      </c>
      <c r="C34" s="1501">
        <v>7.9299999999999995E-2</v>
      </c>
      <c r="D34" s="1502">
        <v>0.72727090000000005</v>
      </c>
      <c r="E34" s="1503">
        <v>5.7673000000000002E-2</v>
      </c>
      <c r="F34" s="1504"/>
      <c r="G34" s="1501">
        <v>0.08</v>
      </c>
      <c r="H34" s="1502">
        <v>0.2727291</v>
      </c>
      <c r="I34" s="1503">
        <v>2.1818000000000001E-2</v>
      </c>
      <c r="J34" s="1504"/>
      <c r="K34" s="1501">
        <v>7.9500000000000001E-2</v>
      </c>
    </row>
    <row r="35" spans="1:11" ht="15">
      <c r="A35" s="1499"/>
      <c r="B35" s="1500">
        <v>394</v>
      </c>
      <c r="C35" s="1501">
        <v>7.4499999999999997E-2</v>
      </c>
      <c r="D35" s="1502">
        <v>0.72727090000000005</v>
      </c>
      <c r="E35" s="1503">
        <v>5.4182000000000001E-2</v>
      </c>
      <c r="F35" s="1504"/>
      <c r="G35" s="1501">
        <v>7.5499999999999998E-2</v>
      </c>
      <c r="H35" s="1502">
        <v>0.2727291</v>
      </c>
      <c r="I35" s="1503">
        <v>2.0591000000000002E-2</v>
      </c>
      <c r="J35" s="1504"/>
      <c r="K35" s="1501">
        <v>7.4800000000000005E-2</v>
      </c>
    </row>
    <row r="36" spans="1:11" ht="15">
      <c r="A36" s="1499"/>
      <c r="B36" s="1500">
        <v>395</v>
      </c>
      <c r="C36" s="1501">
        <v>5.91E-2</v>
      </c>
      <c r="D36" s="1502">
        <v>0.72727090000000005</v>
      </c>
      <c r="E36" s="1503">
        <v>4.2981999999999999E-2</v>
      </c>
      <c r="F36" s="1504"/>
      <c r="G36" s="1501">
        <v>5.9900000000000002E-2</v>
      </c>
      <c r="H36" s="1502">
        <v>0.2727291</v>
      </c>
      <c r="I36" s="1503">
        <v>1.6336E-2</v>
      </c>
      <c r="J36" s="1504"/>
      <c r="K36" s="1501">
        <v>5.9299999999999999E-2</v>
      </c>
    </row>
    <row r="37" spans="1:11" ht="15">
      <c r="A37" s="1499"/>
      <c r="B37" s="1500">
        <v>396</v>
      </c>
      <c r="C37" s="1501">
        <v>6.8500000000000005E-2</v>
      </c>
      <c r="D37" s="1502">
        <v>0.72727090000000005</v>
      </c>
      <c r="E37" s="1503">
        <v>4.9818000000000001E-2</v>
      </c>
      <c r="F37" s="1504"/>
      <c r="G37" s="1501">
        <v>7.0800000000000002E-2</v>
      </c>
      <c r="H37" s="1502">
        <v>0.2727291</v>
      </c>
      <c r="I37" s="1503">
        <v>1.9309E-2</v>
      </c>
      <c r="J37" s="1504"/>
      <c r="K37" s="1501">
        <v>6.9099999999999995E-2</v>
      </c>
    </row>
    <row r="38" spans="1:11" ht="15">
      <c r="A38" s="1499"/>
      <c r="B38" s="1500">
        <v>397</v>
      </c>
      <c r="C38" s="1501">
        <v>4.2799999999999998E-2</v>
      </c>
      <c r="D38" s="1502">
        <v>0.72727090000000005</v>
      </c>
      <c r="E38" s="1503">
        <v>3.1126999999999998E-2</v>
      </c>
      <c r="F38" s="1504"/>
      <c r="G38" s="1501">
        <v>4.3099999999999999E-2</v>
      </c>
      <c r="H38" s="1502">
        <v>0.2727291</v>
      </c>
      <c r="I38" s="1503">
        <v>1.1755E-2</v>
      </c>
      <c r="J38" s="1504"/>
      <c r="K38" s="1501">
        <v>4.2900000000000001E-2</v>
      </c>
    </row>
    <row r="39" spans="1:11" ht="15">
      <c r="A39" s="1499"/>
      <c r="B39" s="1500">
        <v>398</v>
      </c>
      <c r="C39" s="1501">
        <v>3.6999999999999998E-2</v>
      </c>
      <c r="D39" s="1502">
        <v>0.72727090000000005</v>
      </c>
      <c r="E39" s="1503">
        <v>2.6908999999999999E-2</v>
      </c>
      <c r="F39" s="1504"/>
      <c r="G39" s="1501">
        <v>3.7400000000000003E-2</v>
      </c>
      <c r="H39" s="1502">
        <v>0.2727291</v>
      </c>
      <c r="I39" s="1503">
        <v>1.0200000000000001E-2</v>
      </c>
      <c r="J39" s="1504"/>
      <c r="K39" s="1501">
        <v>3.7100000000000001E-2</v>
      </c>
    </row>
    <row r="40" spans="1:11" ht="15.75" thickBot="1">
      <c r="A40" s="1472"/>
      <c r="B40" s="1473"/>
      <c r="C40" s="1474"/>
      <c r="D40" s="1475"/>
      <c r="E40" s="1476"/>
      <c r="F40" s="1473"/>
      <c r="G40" s="1476"/>
      <c r="H40" s="1475"/>
      <c r="I40" s="1476"/>
      <c r="J40" s="1473"/>
      <c r="K40" s="1142"/>
    </row>
    <row r="41" spans="1:11" ht="15">
      <c r="A41" s="1142"/>
      <c r="B41" s="1142"/>
      <c r="C41" s="1142"/>
      <c r="D41" s="1142"/>
      <c r="E41" s="1142"/>
      <c r="F41" s="1142"/>
      <c r="G41" s="1142"/>
      <c r="H41" s="1142"/>
      <c r="I41" s="1142"/>
      <c r="J41" s="1142"/>
      <c r="K41" s="1142"/>
    </row>
    <row r="42" spans="1:11" ht="15">
      <c r="A42" s="1142"/>
      <c r="B42" s="1142"/>
      <c r="C42" s="1142"/>
      <c r="D42" s="1142"/>
      <c r="E42" s="1142"/>
      <c r="F42" s="1142"/>
      <c r="G42" s="1142"/>
      <c r="H42" s="1142"/>
      <c r="I42" s="1142"/>
      <c r="J42" s="1142"/>
      <c r="K42" s="1142"/>
    </row>
    <row r="43" spans="1:11" ht="15">
      <c r="A43" s="1142"/>
      <c r="B43" s="1136"/>
      <c r="C43" s="1418"/>
      <c r="D43" s="1142"/>
      <c r="E43" s="1142"/>
      <c r="F43" s="1142"/>
      <c r="G43" s="1143"/>
      <c r="H43" s="1142"/>
      <c r="I43" s="1142"/>
      <c r="J43" s="1142"/>
      <c r="K43" s="1142"/>
    </row>
    <row r="44" spans="1:11" ht="15.75">
      <c r="A44" s="1650" t="s">
        <v>1175</v>
      </c>
      <c r="B44" s="1650"/>
      <c r="C44" s="1650"/>
      <c r="D44" s="1650"/>
      <c r="E44" s="1650"/>
      <c r="F44" s="1650"/>
      <c r="G44" s="1650"/>
      <c r="H44" s="1650"/>
      <c r="I44" s="1650"/>
      <c r="J44" s="1650"/>
      <c r="K44" s="1650"/>
    </row>
    <row r="45" spans="1:11" ht="78" customHeight="1">
      <c r="A45" s="1648" t="s">
        <v>1176</v>
      </c>
      <c r="B45" s="1648"/>
      <c r="C45" s="1648"/>
      <c r="D45" s="1648"/>
      <c r="E45" s="1648"/>
      <c r="F45" s="1648"/>
      <c r="G45" s="1648"/>
      <c r="H45" s="1648"/>
      <c r="I45" s="1648"/>
      <c r="J45" s="1648"/>
      <c r="K45" s="1648"/>
    </row>
    <row r="46" spans="1:11" ht="72" customHeight="1">
      <c r="A46" s="1651" t="s">
        <v>1177</v>
      </c>
      <c r="B46" s="1651"/>
      <c r="C46" s="1651"/>
      <c r="D46" s="1651"/>
      <c r="E46" s="1651"/>
      <c r="F46" s="1651"/>
      <c r="G46" s="1651"/>
      <c r="H46" s="1651"/>
      <c r="I46" s="1651"/>
      <c r="J46" s="1651"/>
      <c r="K46" s="1651"/>
    </row>
    <row r="47" spans="1:11" ht="68.25" customHeight="1">
      <c r="A47" s="1652" t="s">
        <v>1178</v>
      </c>
      <c r="B47" s="1652"/>
      <c r="C47" s="1652"/>
      <c r="D47" s="1652"/>
      <c r="E47" s="1652"/>
      <c r="F47" s="1652"/>
      <c r="G47" s="1652"/>
      <c r="H47" s="1652"/>
      <c r="I47" s="1652"/>
      <c r="J47" s="1652"/>
      <c r="K47" s="1652"/>
    </row>
    <row r="48" spans="1:11" ht="15" customHeight="1">
      <c r="A48" s="1653" t="s">
        <v>1179</v>
      </c>
      <c r="B48" s="1653"/>
      <c r="C48" s="1653"/>
      <c r="D48" s="1653"/>
      <c r="E48" s="1653"/>
      <c r="F48" s="1653"/>
      <c r="G48" s="1653"/>
      <c r="H48" s="1653"/>
      <c r="I48" s="1653"/>
      <c r="J48" s="1653"/>
      <c r="K48" s="1653"/>
    </row>
    <row r="49" spans="1:11" ht="18.75" customHeight="1">
      <c r="A49" s="1506"/>
      <c r="B49" s="1506"/>
      <c r="C49" s="1506"/>
      <c r="D49" s="1506"/>
      <c r="E49" s="1506"/>
      <c r="F49" s="1506"/>
      <c r="G49" s="1506"/>
      <c r="H49" s="1506"/>
      <c r="I49" s="1506"/>
      <c r="J49" s="1506"/>
      <c r="K49" s="1142"/>
    </row>
    <row r="50" spans="1:11" ht="15.75">
      <c r="A50" s="1149" t="s">
        <v>414</v>
      </c>
      <c r="B50" s="1136"/>
      <c r="C50" s="1418"/>
      <c r="D50" s="1142"/>
      <c r="E50" s="1142"/>
      <c r="F50" s="1142"/>
      <c r="G50" s="1143"/>
      <c r="H50" s="1142"/>
      <c r="I50" s="1142"/>
      <c r="J50" s="1142"/>
      <c r="K50" s="1142"/>
    </row>
    <row r="51" spans="1:11" ht="15">
      <c r="A51" s="1427" t="s">
        <v>29</v>
      </c>
      <c r="B51" s="1428"/>
      <c r="C51" s="1428"/>
      <c r="D51" s="1429"/>
      <c r="E51" s="1142"/>
      <c r="F51" s="1142"/>
      <c r="G51" s="1143"/>
      <c r="H51" s="1142"/>
      <c r="I51" s="1142"/>
      <c r="J51" s="1142"/>
      <c r="K51" s="1142"/>
    </row>
    <row r="52" spans="1:11" ht="15">
      <c r="A52" s="1643" t="s">
        <v>769</v>
      </c>
      <c r="B52" s="1643"/>
      <c r="C52" s="1643"/>
      <c r="D52" s="1643"/>
      <c r="E52" s="1643"/>
      <c r="F52" s="1643"/>
      <c r="G52" s="1643"/>
      <c r="H52" s="1643"/>
      <c r="I52" s="1643"/>
      <c r="J52" s="1643"/>
      <c r="K52" s="1142"/>
    </row>
    <row r="53" spans="1:11" ht="15">
      <c r="A53" s="1643"/>
      <c r="B53" s="1643"/>
      <c r="C53" s="1643"/>
      <c r="D53" s="1643"/>
      <c r="E53" s="1643"/>
      <c r="F53" s="1643"/>
      <c r="G53" s="1643"/>
      <c r="H53" s="1643"/>
      <c r="I53" s="1643"/>
      <c r="J53" s="1643"/>
      <c r="K53" s="1142"/>
    </row>
    <row r="54" spans="1:11" ht="15">
      <c r="A54" s="1644" t="s">
        <v>814</v>
      </c>
      <c r="B54" s="1644"/>
      <c r="C54" s="1644"/>
      <c r="D54" s="1644"/>
      <c r="E54" s="1644"/>
      <c r="F54" s="1644"/>
      <c r="G54" s="1644"/>
      <c r="H54" s="1644"/>
      <c r="I54" s="1644"/>
      <c r="J54" s="1644"/>
      <c r="K54" s="1142"/>
    </row>
    <row r="55" spans="1:11" ht="15">
      <c r="A55" s="1644"/>
      <c r="B55" s="1644"/>
      <c r="C55" s="1644"/>
      <c r="D55" s="1644"/>
      <c r="E55" s="1644"/>
      <c r="F55" s="1644"/>
      <c r="G55" s="1644"/>
      <c r="H55" s="1644"/>
      <c r="I55" s="1644"/>
      <c r="J55" s="1644"/>
      <c r="K55" s="1142"/>
    </row>
    <row r="56" spans="1:11" ht="15">
      <c r="A56" s="1142"/>
      <c r="B56" s="1142"/>
      <c r="C56" s="1142"/>
      <c r="D56" s="1142"/>
      <c r="E56" s="1142"/>
      <c r="F56" s="1142"/>
      <c r="G56" s="1143"/>
      <c r="H56" s="1142"/>
      <c r="I56" s="1142"/>
      <c r="J56" s="1142"/>
      <c r="K56" s="1142"/>
    </row>
    <row r="57" spans="1:11" ht="15">
      <c r="A57" s="1142"/>
      <c r="B57" s="1142"/>
      <c r="C57" s="1142"/>
      <c r="D57" s="1142"/>
      <c r="E57" s="1142"/>
      <c r="F57" s="1142"/>
      <c r="G57" s="1143"/>
      <c r="H57" s="1142"/>
      <c r="I57" s="1142"/>
      <c r="J57" s="1142"/>
      <c r="K57" s="1142"/>
    </row>
    <row r="58" spans="1:11" ht="15">
      <c r="A58" s="1142"/>
      <c r="B58" s="1142"/>
      <c r="C58" s="1142"/>
      <c r="D58" s="1142"/>
      <c r="E58" s="1142"/>
      <c r="F58" s="1142"/>
      <c r="G58" s="1143"/>
      <c r="H58" s="1142"/>
      <c r="I58" s="1142"/>
      <c r="J58" s="1142"/>
      <c r="K58" s="1142"/>
    </row>
  </sheetData>
  <mergeCells count="17">
    <mergeCell ref="A46:K46"/>
    <mergeCell ref="A47:K47"/>
    <mergeCell ref="A48:K48"/>
    <mergeCell ref="A52:J53"/>
    <mergeCell ref="A54:J55"/>
    <mergeCell ref="A45:K45"/>
    <mergeCell ref="A3:K3"/>
    <mergeCell ref="A4:K4"/>
    <mergeCell ref="A5:K5"/>
    <mergeCell ref="A6:K6"/>
    <mergeCell ref="A7:K7"/>
    <mergeCell ref="A8:K8"/>
    <mergeCell ref="A9:K9"/>
    <mergeCell ref="A10:K10"/>
    <mergeCell ref="C11:E11"/>
    <mergeCell ref="G11:I11"/>
    <mergeCell ref="A44:K44"/>
  </mergeCells>
  <conditionalFormatting sqref="A3 A10 A52 A50:J51 A4:K9">
    <cfRule type="cellIs" dxfId="5" priority="1" stopIfTrue="1" operator="lessThan">
      <formula>0</formula>
    </cfRule>
  </conditionalFormatting>
  <pageMargins left="0.7" right="0.7" top="0.75" bottom="0.75" header="0.3" footer="0.3"/>
  <pageSetup scale="4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08AB9-88C7-4A7D-AD14-52F0CBE11B37}">
  <dimension ref="A1:G49"/>
  <sheetViews>
    <sheetView view="pageBreakPreview" topLeftCell="A3" zoomScale="60" zoomScaleNormal="70" workbookViewId="0">
      <selection activeCell="A2" sqref="A2"/>
    </sheetView>
  </sheetViews>
  <sheetFormatPr defaultColWidth="9.140625" defaultRowHeight="12.75"/>
  <cols>
    <col min="1" max="1" width="33.5703125" style="1430" customWidth="1"/>
    <col min="2" max="2" width="17.140625" style="1430" customWidth="1"/>
    <col min="3" max="3" width="23.42578125" style="1430" customWidth="1"/>
    <col min="4" max="4" width="19.140625" style="1430" customWidth="1"/>
    <col min="5" max="5" width="21.85546875" style="1430" customWidth="1"/>
    <col min="6" max="16384" width="9.140625" style="1430"/>
  </cols>
  <sheetData>
    <row r="1" spans="1:7" s="1142" customFormat="1" ht="15.75">
      <c r="A1" s="1431" t="s">
        <v>115</v>
      </c>
      <c r="G1" s="1143"/>
    </row>
    <row r="2" spans="1:7" s="1142" customFormat="1" ht="15.75">
      <c r="A2" s="1431" t="s">
        <v>115</v>
      </c>
      <c r="G2" s="1143"/>
    </row>
    <row r="3" spans="1:7" ht="19.5">
      <c r="A3" s="1142"/>
      <c r="B3" s="1654" t="s">
        <v>392</v>
      </c>
      <c r="C3" s="1654"/>
      <c r="D3" s="1654"/>
      <c r="E3" s="1654"/>
    </row>
    <row r="4" spans="1:7" ht="19.5">
      <c r="A4" s="1142"/>
      <c r="B4" s="1654" t="s">
        <v>770</v>
      </c>
      <c r="C4" s="1654"/>
      <c r="D4" s="1654"/>
      <c r="E4" s="1654"/>
    </row>
    <row r="5" spans="1:7" ht="19.5">
      <c r="A5" s="1142"/>
      <c r="B5" s="1654" t="s">
        <v>771</v>
      </c>
      <c r="C5" s="1654"/>
      <c r="D5" s="1654"/>
      <c r="E5" s="1654"/>
    </row>
    <row r="6" spans="1:7" ht="19.5">
      <c r="A6" s="1142"/>
      <c r="B6" s="1654" t="s">
        <v>1180</v>
      </c>
      <c r="C6" s="1654"/>
      <c r="D6" s="1654"/>
      <c r="E6" s="1654"/>
    </row>
    <row r="7" spans="1:7" ht="19.5">
      <c r="A7" s="1142"/>
      <c r="B7" s="1654" t="s">
        <v>772</v>
      </c>
      <c r="C7" s="1654"/>
      <c r="D7" s="1654"/>
      <c r="E7" s="1654"/>
    </row>
    <row r="8" spans="1:7" ht="19.5">
      <c r="A8" s="1142"/>
      <c r="B8" s="1654" t="s">
        <v>773</v>
      </c>
      <c r="C8" s="1654"/>
      <c r="D8" s="1654"/>
      <c r="E8" s="1654"/>
    </row>
    <row r="9" spans="1:7" ht="15">
      <c r="A9" s="1142"/>
      <c r="B9" s="1136"/>
      <c r="C9" s="1136"/>
      <c r="D9" s="1138" t="s">
        <v>115</v>
      </c>
      <c r="E9" s="1142"/>
    </row>
    <row r="10" spans="1:7" ht="15.75">
      <c r="A10" s="1136"/>
      <c r="B10" s="1150" t="s">
        <v>400</v>
      </c>
      <c r="C10" s="1142"/>
      <c r="D10" s="1142"/>
      <c r="E10" s="1432"/>
    </row>
    <row r="11" spans="1:7" ht="15.75">
      <c r="A11" s="1138"/>
      <c r="B11" s="1150" t="s">
        <v>404</v>
      </c>
      <c r="C11" s="1150" t="s">
        <v>405</v>
      </c>
      <c r="D11" s="1150"/>
      <c r="E11" s="1142"/>
    </row>
    <row r="12" spans="1:7" ht="15.75" thickBot="1">
      <c r="A12" s="1144"/>
      <c r="B12" s="1136"/>
      <c r="C12" s="1433" t="s">
        <v>500</v>
      </c>
      <c r="D12" s="1142"/>
      <c r="E12" s="1142"/>
    </row>
    <row r="13" spans="1:7" ht="15">
      <c r="A13" s="1146" t="s">
        <v>407</v>
      </c>
      <c r="B13" s="1147"/>
      <c r="C13" s="1419"/>
      <c r="D13" s="1142"/>
      <c r="E13" s="1142"/>
    </row>
    <row r="14" spans="1:7" ht="15">
      <c r="A14" s="1142"/>
      <c r="B14" s="1434"/>
      <c r="C14" s="1418"/>
      <c r="D14" s="1151"/>
      <c r="E14" s="1142"/>
    </row>
    <row r="15" spans="1:7" ht="15">
      <c r="A15" s="1142" t="s">
        <v>408</v>
      </c>
      <c r="B15" s="1423">
        <v>352</v>
      </c>
      <c r="C15" s="1418">
        <v>1.9599999999999999E-2</v>
      </c>
      <c r="D15" s="1151"/>
      <c r="E15" s="1142"/>
    </row>
    <row r="16" spans="1:7" ht="15">
      <c r="A16" s="1142" t="s">
        <v>409</v>
      </c>
      <c r="B16" s="1423">
        <v>353</v>
      </c>
      <c r="C16" s="1418">
        <v>2.5600000000000001E-2</v>
      </c>
      <c r="D16" s="1151"/>
      <c r="E16" s="1142"/>
    </row>
    <row r="17" spans="1:5" ht="15">
      <c r="A17" s="1142" t="s">
        <v>410</v>
      </c>
      <c r="B17" s="1423">
        <v>354</v>
      </c>
      <c r="C17" s="1418">
        <v>6.7000000000000002E-3</v>
      </c>
      <c r="D17" s="1151"/>
      <c r="E17" s="1142"/>
    </row>
    <row r="18" spans="1:5" ht="15">
      <c r="A18" s="1142" t="s">
        <v>411</v>
      </c>
      <c r="B18" s="1423">
        <v>355</v>
      </c>
      <c r="C18" s="1418">
        <v>3.0800000000000001E-2</v>
      </c>
      <c r="D18" s="1151"/>
      <c r="E18" s="1142"/>
    </row>
    <row r="19" spans="1:5" ht="15">
      <c r="A19" s="1142" t="s">
        <v>767</v>
      </c>
      <c r="B19" s="1423">
        <v>356</v>
      </c>
      <c r="C19" s="1418">
        <v>1.3299999999999999E-2</v>
      </c>
      <c r="D19" s="1151"/>
      <c r="E19" s="1142"/>
    </row>
    <row r="20" spans="1:5" ht="15">
      <c r="A20" s="1142" t="s">
        <v>412</v>
      </c>
      <c r="B20" s="1423">
        <v>357</v>
      </c>
      <c r="C20" s="1435" t="s">
        <v>609</v>
      </c>
      <c r="D20" s="1142"/>
      <c r="E20" s="1142"/>
    </row>
    <row r="21" spans="1:5" ht="15">
      <c r="A21" s="1142" t="s">
        <v>413</v>
      </c>
      <c r="B21" s="1423">
        <v>358</v>
      </c>
      <c r="C21" s="1435" t="s">
        <v>609</v>
      </c>
      <c r="D21" s="1151"/>
      <c r="E21" s="1142"/>
    </row>
    <row r="22" spans="1:5" ht="15.75">
      <c r="A22" s="1137" t="s">
        <v>774</v>
      </c>
      <c r="B22" s="1436"/>
      <c r="C22" s="1437">
        <v>2.5000000000000001E-2</v>
      </c>
      <c r="D22" s="1151"/>
      <c r="E22" s="1142"/>
    </row>
    <row r="23" spans="1:5" ht="15.75">
      <c r="A23" s="1137"/>
      <c r="B23" s="1436"/>
      <c r="C23" s="1437"/>
      <c r="D23" s="1151"/>
      <c r="E23" s="1142"/>
    </row>
    <row r="24" spans="1:5" ht="15.75">
      <c r="A24" s="1438" t="s">
        <v>799</v>
      </c>
      <c r="C24" s="1439"/>
    </row>
    <row r="25" spans="1:5">
      <c r="C25" s="1439"/>
    </row>
    <row r="26" spans="1:5" ht="15">
      <c r="A26" s="1440" t="s">
        <v>800</v>
      </c>
      <c r="B26" s="1507">
        <v>390</v>
      </c>
      <c r="C26" s="1508">
        <v>1.9099999999999999E-2</v>
      </c>
    </row>
    <row r="27" spans="1:5" ht="15">
      <c r="A27" s="1440" t="s">
        <v>801</v>
      </c>
      <c r="B27" s="1507">
        <v>391</v>
      </c>
      <c r="C27" s="1508">
        <v>2.8799999999999999E-2</v>
      </c>
    </row>
    <row r="28" spans="1:5" ht="15">
      <c r="A28" s="1440" t="s">
        <v>802</v>
      </c>
      <c r="B28" s="1507">
        <v>393</v>
      </c>
      <c r="C28" s="1508">
        <v>2.29E-2</v>
      </c>
    </row>
    <row r="29" spans="1:5" ht="15">
      <c r="A29" s="1440" t="s">
        <v>803</v>
      </c>
      <c r="B29" s="1507">
        <v>394</v>
      </c>
      <c r="C29" s="1508">
        <v>3.09E-2</v>
      </c>
    </row>
    <row r="30" spans="1:5" ht="15">
      <c r="A30" s="1440" t="s">
        <v>804</v>
      </c>
      <c r="B30" s="1507">
        <v>395</v>
      </c>
      <c r="C30" s="1508">
        <v>2.2800000000000001E-2</v>
      </c>
    </row>
    <row r="31" spans="1:5" ht="15">
      <c r="A31" s="1440" t="s">
        <v>805</v>
      </c>
      <c r="B31" s="1507">
        <v>397</v>
      </c>
      <c r="C31" s="1508">
        <v>3.7699999999999997E-2</v>
      </c>
    </row>
    <row r="32" spans="1:5" ht="15">
      <c r="A32" s="1440" t="s">
        <v>806</v>
      </c>
      <c r="B32" s="1507">
        <v>398</v>
      </c>
      <c r="C32" s="1508">
        <v>5.1499999999999997E-2</v>
      </c>
    </row>
    <row r="33" spans="1:5" ht="15">
      <c r="A33" s="1441"/>
      <c r="B33" s="1440"/>
      <c r="C33" s="1508"/>
    </row>
    <row r="34" spans="1:5" ht="15.75">
      <c r="A34" s="1441"/>
      <c r="B34" s="1442" t="s">
        <v>807</v>
      </c>
      <c r="C34" s="1508">
        <v>2.6800000000000001E-2</v>
      </c>
    </row>
    <row r="35" spans="1:5" ht="15.75">
      <c r="A35" s="1441"/>
      <c r="B35" s="1442"/>
      <c r="C35" s="1509"/>
    </row>
    <row r="36" spans="1:5" ht="15.75">
      <c r="A36" s="1142" t="s">
        <v>775</v>
      </c>
      <c r="B36" s="1148"/>
      <c r="C36" s="1425"/>
      <c r="D36" s="1142"/>
      <c r="E36" s="1142"/>
    </row>
    <row r="37" spans="1:5" ht="15">
      <c r="A37" s="1655"/>
      <c r="B37" s="1655"/>
      <c r="C37" s="1655"/>
      <c r="D37" s="1655"/>
      <c r="E37" s="1142"/>
    </row>
    <row r="38" spans="1:5" ht="15">
      <c r="A38" s="1655" t="s">
        <v>1181</v>
      </c>
      <c r="B38" s="1655"/>
      <c r="C38" s="1655"/>
      <c r="D38" s="1655"/>
      <c r="E38" s="1142"/>
    </row>
    <row r="39" spans="1:5" ht="15">
      <c r="A39" s="1142"/>
      <c r="B39" s="1142"/>
      <c r="C39" s="1142"/>
      <c r="D39" s="1142"/>
      <c r="E39" s="1142"/>
    </row>
    <row r="40" spans="1:5" ht="15">
      <c r="A40" s="1655" t="s">
        <v>776</v>
      </c>
      <c r="B40" s="1655"/>
      <c r="C40" s="1655"/>
      <c r="D40" s="1142"/>
      <c r="E40" s="1142"/>
    </row>
    <row r="41" spans="1:5" ht="33" customHeight="1">
      <c r="A41" s="1655"/>
      <c r="B41" s="1655"/>
      <c r="C41" s="1655"/>
      <c r="D41" s="1142"/>
      <c r="E41" s="1142"/>
    </row>
    <row r="42" spans="1:5" ht="15">
      <c r="A42" s="1142"/>
      <c r="B42" s="1136"/>
      <c r="C42" s="1418"/>
      <c r="D42" s="1142"/>
      <c r="E42" s="1142"/>
    </row>
    <row r="43" spans="1:5" ht="15">
      <c r="A43" s="1655"/>
      <c r="B43" s="1655"/>
      <c r="C43" s="1655"/>
      <c r="D43" s="1655"/>
      <c r="E43" s="1142"/>
    </row>
    <row r="44" spans="1:5" ht="15.75">
      <c r="A44" s="1149" t="s">
        <v>777</v>
      </c>
      <c r="B44" s="1136"/>
      <c r="C44" s="1418"/>
      <c r="D44" s="1142"/>
      <c r="E44" s="1142"/>
    </row>
    <row r="45" spans="1:5" ht="15">
      <c r="A45" s="1656" t="s">
        <v>814</v>
      </c>
      <c r="B45" s="1656"/>
      <c r="C45" s="1656"/>
      <c r="D45" s="1432"/>
      <c r="E45" s="1142"/>
    </row>
    <row r="46" spans="1:5" ht="15">
      <c r="A46" s="1656"/>
      <c r="B46" s="1656"/>
      <c r="C46" s="1656"/>
      <c r="D46" s="1432"/>
      <c r="E46" s="1142"/>
    </row>
    <row r="47" spans="1:5" ht="15">
      <c r="A47" s="1656"/>
      <c r="B47" s="1656"/>
      <c r="C47" s="1656"/>
      <c r="D47" s="1432"/>
      <c r="E47" s="1142"/>
    </row>
    <row r="48" spans="1:5" ht="15">
      <c r="A48" s="1656"/>
      <c r="B48" s="1656"/>
      <c r="C48" s="1656"/>
      <c r="D48" s="1432"/>
      <c r="E48" s="1142"/>
    </row>
    <row r="49" spans="1:5" ht="15">
      <c r="A49" s="1656"/>
      <c r="B49" s="1656"/>
      <c r="C49" s="1656"/>
      <c r="D49" s="1432"/>
      <c r="E49" s="1142"/>
    </row>
  </sheetData>
  <mergeCells count="11">
    <mergeCell ref="A37:D37"/>
    <mergeCell ref="A38:D38"/>
    <mergeCell ref="A40:C41"/>
    <mergeCell ref="A43:D43"/>
    <mergeCell ref="A45:C49"/>
    <mergeCell ref="B8:E8"/>
    <mergeCell ref="B3:E3"/>
    <mergeCell ref="B4:E4"/>
    <mergeCell ref="B5:E5"/>
    <mergeCell ref="B6:E6"/>
    <mergeCell ref="B7:E7"/>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A1D12-0787-498C-A7D2-34A36EAA7F54}">
  <dimension ref="A1:G48"/>
  <sheetViews>
    <sheetView view="pageBreakPreview" zoomScale="60" zoomScaleNormal="70" workbookViewId="0">
      <selection activeCell="A2" sqref="A2"/>
    </sheetView>
  </sheetViews>
  <sheetFormatPr defaultColWidth="9.140625" defaultRowHeight="12.75"/>
  <cols>
    <col min="1" max="1" width="9.140625" style="1430"/>
    <col min="2" max="2" width="38.5703125" style="1430" customWidth="1"/>
    <col min="3" max="3" width="21.85546875" style="1430" customWidth="1"/>
    <col min="4" max="4" width="25.85546875" style="1430" customWidth="1"/>
    <col min="5" max="16384" width="9.140625" style="1430"/>
  </cols>
  <sheetData>
    <row r="1" spans="1:7" s="1142" customFormat="1" ht="15.75">
      <c r="A1" s="1431" t="s">
        <v>115</v>
      </c>
      <c r="G1" s="1143"/>
    </row>
    <row r="2" spans="1:7" s="1142" customFormat="1" ht="15.75">
      <c r="A2" s="1431" t="s">
        <v>115</v>
      </c>
      <c r="G2" s="1143"/>
    </row>
    <row r="3" spans="1:7" ht="19.5">
      <c r="A3" s="1142"/>
      <c r="B3" s="1654" t="s">
        <v>392</v>
      </c>
      <c r="C3" s="1654"/>
      <c r="D3" s="1654"/>
      <c r="E3" s="1654"/>
    </row>
    <row r="4" spans="1:7" ht="19.5">
      <c r="A4" s="1142"/>
      <c r="B4" s="1654" t="s">
        <v>770</v>
      </c>
      <c r="C4" s="1654"/>
      <c r="D4" s="1654"/>
      <c r="E4" s="1654"/>
    </row>
    <row r="5" spans="1:7" ht="19.5">
      <c r="A5" s="1142"/>
      <c r="B5" s="1654" t="s">
        <v>771</v>
      </c>
      <c r="C5" s="1654"/>
      <c r="D5" s="1654"/>
      <c r="E5" s="1654"/>
    </row>
    <row r="6" spans="1:7" ht="19.5">
      <c r="A6" s="1142"/>
      <c r="B6" s="1654" t="s">
        <v>778</v>
      </c>
      <c r="C6" s="1654"/>
      <c r="D6" s="1654"/>
      <c r="E6" s="1654"/>
    </row>
    <row r="7" spans="1:7" ht="19.5">
      <c r="A7" s="1142"/>
      <c r="B7" s="1654" t="s">
        <v>772</v>
      </c>
      <c r="C7" s="1654"/>
      <c r="D7" s="1654"/>
      <c r="E7" s="1654"/>
    </row>
    <row r="8" spans="1:7" ht="19.5">
      <c r="A8" s="1142"/>
      <c r="B8" s="1654" t="s">
        <v>779</v>
      </c>
      <c r="C8" s="1654"/>
      <c r="D8" s="1654"/>
      <c r="E8" s="1654"/>
    </row>
    <row r="9" spans="1:7" ht="15">
      <c r="A9" s="1142"/>
      <c r="B9" s="1136"/>
      <c r="C9" s="1136"/>
      <c r="D9" s="1138" t="s">
        <v>115</v>
      </c>
      <c r="E9" s="1142"/>
    </row>
    <row r="10" spans="1:7" ht="15.75">
      <c r="A10" s="1142"/>
      <c r="B10" s="1136"/>
      <c r="C10" s="1150" t="s">
        <v>400</v>
      </c>
      <c r="D10" s="1142"/>
      <c r="E10" s="1142"/>
    </row>
    <row r="11" spans="1:7" ht="15.75">
      <c r="A11" s="1142"/>
      <c r="B11" s="1138"/>
      <c r="C11" s="1150" t="s">
        <v>404</v>
      </c>
      <c r="D11" s="1150" t="s">
        <v>405</v>
      </c>
      <c r="E11" s="1150"/>
    </row>
    <row r="12" spans="1:7" ht="15.75" thickBot="1">
      <c r="A12" s="1142"/>
      <c r="B12" s="1144"/>
      <c r="C12" s="1136"/>
      <c r="D12" s="1433" t="s">
        <v>500</v>
      </c>
      <c r="E12" s="1142"/>
    </row>
    <row r="13" spans="1:7" ht="15">
      <c r="A13" s="1142"/>
      <c r="B13" s="1146" t="s">
        <v>407</v>
      </c>
      <c r="C13" s="1147"/>
      <c r="D13" s="1419"/>
      <c r="E13" s="1142"/>
    </row>
    <row r="14" spans="1:7" ht="15">
      <c r="A14" s="1142"/>
      <c r="B14" s="1142"/>
      <c r="C14" s="1434"/>
      <c r="D14" s="1418"/>
      <c r="E14" s="1151"/>
    </row>
    <row r="15" spans="1:7" ht="15">
      <c r="A15" s="1142"/>
      <c r="B15" s="1142" t="s">
        <v>780</v>
      </c>
      <c r="C15" s="1142">
        <v>350.1</v>
      </c>
      <c r="D15" s="1418">
        <v>1.44E-2</v>
      </c>
      <c r="E15" s="1151"/>
    </row>
    <row r="16" spans="1:7" ht="15">
      <c r="A16" s="1142"/>
      <c r="B16" s="1142" t="s">
        <v>408</v>
      </c>
      <c r="C16" s="1423">
        <v>352</v>
      </c>
      <c r="D16" s="1418">
        <v>2.0799999999999999E-2</v>
      </c>
      <c r="E16" s="1151"/>
    </row>
    <row r="17" spans="1:5" ht="15">
      <c r="A17" s="1142"/>
      <c r="B17" s="1142" t="s">
        <v>409</v>
      </c>
      <c r="C17" s="1423">
        <v>353</v>
      </c>
      <c r="D17" s="1418">
        <v>2.1499999999999998E-2</v>
      </c>
      <c r="E17" s="1151"/>
    </row>
    <row r="18" spans="1:5" ht="15">
      <c r="A18" s="1142"/>
      <c r="B18" s="1142" t="s">
        <v>410</v>
      </c>
      <c r="C18" s="1423">
        <v>354</v>
      </c>
      <c r="D18" s="1418">
        <v>2.6100000000000002E-2</v>
      </c>
      <c r="E18" s="1151"/>
    </row>
    <row r="19" spans="1:5" ht="15">
      <c r="A19" s="1142"/>
      <c r="B19" s="1142" t="s">
        <v>411</v>
      </c>
      <c r="C19" s="1423">
        <v>355</v>
      </c>
      <c r="D19" s="1418">
        <v>3.95E-2</v>
      </c>
      <c r="E19" s="1151"/>
    </row>
    <row r="20" spans="1:5" ht="15">
      <c r="A20" s="1142"/>
      <c r="B20" s="1142" t="s">
        <v>767</v>
      </c>
      <c r="C20" s="1423">
        <v>356</v>
      </c>
      <c r="D20" s="1418">
        <v>2.9100000000000001E-2</v>
      </c>
      <c r="E20" s="1151"/>
    </row>
    <row r="21" spans="1:5" ht="15">
      <c r="A21" s="1142"/>
      <c r="B21" s="1142" t="s">
        <v>412</v>
      </c>
      <c r="C21" s="1423">
        <v>357</v>
      </c>
      <c r="D21" s="1418">
        <v>2.9899999999999999E-2</v>
      </c>
      <c r="E21" s="1151"/>
    </row>
    <row r="22" spans="1:5" ht="15">
      <c r="A22" s="1142"/>
      <c r="B22" s="1142" t="s">
        <v>413</v>
      </c>
      <c r="C22" s="1423">
        <v>358</v>
      </c>
      <c r="D22" s="1418">
        <v>2.6200000000000001E-2</v>
      </c>
      <c r="E22" s="1151"/>
    </row>
    <row r="23" spans="1:5" ht="15.75" thickBot="1">
      <c r="A23" s="1142"/>
      <c r="B23" s="1510"/>
      <c r="C23" s="1511"/>
      <c r="D23" s="1512"/>
      <c r="E23" s="1151"/>
    </row>
    <row r="24" spans="1:5" ht="15.75">
      <c r="A24" s="1142"/>
      <c r="B24" s="1438" t="s">
        <v>799</v>
      </c>
      <c r="C24" s="1423"/>
      <c r="D24" s="1418"/>
      <c r="E24" s="1151"/>
    </row>
    <row r="25" spans="1:5" ht="15">
      <c r="A25" s="1142"/>
      <c r="C25" s="1423"/>
      <c r="D25" s="1418"/>
      <c r="E25" s="1151"/>
    </row>
    <row r="26" spans="1:5" ht="15">
      <c r="A26" s="1142"/>
      <c r="B26" s="1142" t="s">
        <v>1182</v>
      </c>
      <c r="C26" s="1142">
        <v>389.1</v>
      </c>
      <c r="D26" s="1418">
        <v>1.5900000000000001E-2</v>
      </c>
      <c r="E26" s="1151"/>
    </row>
    <row r="27" spans="1:5" ht="15">
      <c r="A27" s="1142"/>
      <c r="B27" s="1142" t="s">
        <v>1183</v>
      </c>
      <c r="C27" s="1423">
        <v>390</v>
      </c>
      <c r="D27" s="1418">
        <v>3.9699999999999999E-2</v>
      </c>
      <c r="E27" s="1151"/>
    </row>
    <row r="28" spans="1:5" ht="15">
      <c r="A28" s="1142"/>
      <c r="B28" s="1142" t="s">
        <v>1184</v>
      </c>
      <c r="C28" s="1423">
        <v>391</v>
      </c>
      <c r="D28" s="1418">
        <v>3.2000000000000001E-2</v>
      </c>
      <c r="E28" s="1151"/>
    </row>
    <row r="29" spans="1:5" ht="15">
      <c r="A29" s="1142"/>
      <c r="B29" s="1142" t="s">
        <v>1185</v>
      </c>
      <c r="C29" s="1423">
        <v>392</v>
      </c>
      <c r="D29" s="1418">
        <v>3.5200000000000002E-2</v>
      </c>
      <c r="E29" s="1151"/>
    </row>
    <row r="30" spans="1:5" ht="15">
      <c r="A30" s="1142"/>
      <c r="B30" s="1142" t="s">
        <v>1186</v>
      </c>
      <c r="C30" s="1423">
        <v>393</v>
      </c>
      <c r="D30" s="1418">
        <v>4.1500000000000002E-2</v>
      </c>
      <c r="E30" s="1151"/>
    </row>
    <row r="31" spans="1:5" ht="15">
      <c r="A31" s="1142"/>
      <c r="B31" s="1142" t="s">
        <v>1187</v>
      </c>
      <c r="C31" s="1423">
        <v>394</v>
      </c>
      <c r="D31" s="1418">
        <v>4.2000000000000003E-2</v>
      </c>
      <c r="E31" s="1151"/>
    </row>
    <row r="32" spans="1:5" ht="15">
      <c r="A32" s="1142"/>
      <c r="B32" s="1142" t="s">
        <v>804</v>
      </c>
      <c r="C32" s="1423">
        <v>395</v>
      </c>
      <c r="D32" s="1418">
        <v>5.7599999999999998E-2</v>
      </c>
      <c r="E32" s="1151"/>
    </row>
    <row r="33" spans="1:5" ht="15">
      <c r="A33" s="1142"/>
      <c r="B33" s="1142" t="s">
        <v>1188</v>
      </c>
      <c r="C33" s="1423">
        <v>396</v>
      </c>
      <c r="D33" s="1418">
        <v>5.4300000000000001E-2</v>
      </c>
      <c r="E33" s="1151"/>
    </row>
    <row r="34" spans="1:5" ht="15">
      <c r="A34" s="1142"/>
      <c r="B34" s="1142" t="s">
        <v>1189</v>
      </c>
      <c r="C34" s="1423">
        <v>397</v>
      </c>
      <c r="D34" s="1418">
        <v>5.6599999999999998E-2</v>
      </c>
      <c r="E34" s="1151"/>
    </row>
    <row r="35" spans="1:5" ht="15">
      <c r="A35" s="1142"/>
      <c r="B35" s="1142" t="s">
        <v>1190</v>
      </c>
      <c r="C35" s="1423">
        <v>398</v>
      </c>
      <c r="D35" s="1418">
        <v>6.7299999999999999E-2</v>
      </c>
      <c r="E35" s="1151"/>
    </row>
    <row r="36" spans="1:5" ht="15">
      <c r="A36" s="1142"/>
      <c r="B36" s="1142"/>
      <c r="C36" s="1423"/>
      <c r="D36" s="1418"/>
      <c r="E36" s="1151"/>
    </row>
    <row r="37" spans="1:5" ht="15">
      <c r="A37" s="1142"/>
      <c r="B37" s="1142"/>
      <c r="C37" s="1423"/>
      <c r="D37" s="1418"/>
      <c r="E37" s="1151"/>
    </row>
    <row r="38" spans="1:5" ht="15">
      <c r="A38" s="1142"/>
      <c r="B38" s="1142"/>
      <c r="C38" s="1136"/>
      <c r="D38" s="1418"/>
      <c r="E38" s="1142"/>
    </row>
    <row r="39" spans="1:5" ht="15.75">
      <c r="A39" s="1142"/>
      <c r="B39" s="1142" t="s">
        <v>775</v>
      </c>
      <c r="C39" s="1148"/>
      <c r="D39" s="1425"/>
      <c r="E39" s="1142"/>
    </row>
    <row r="40" spans="1:5" ht="15">
      <c r="A40" s="1142"/>
      <c r="B40" s="1655"/>
      <c r="C40" s="1655"/>
      <c r="D40" s="1655"/>
      <c r="E40" s="1655"/>
    </row>
    <row r="41" spans="1:5" ht="15">
      <c r="A41" s="1142"/>
      <c r="B41" s="1655" t="s">
        <v>781</v>
      </c>
      <c r="C41" s="1655"/>
      <c r="D41" s="1655"/>
      <c r="E41" s="1655"/>
    </row>
    <row r="42" spans="1:5" ht="15">
      <c r="A42" s="1142"/>
      <c r="B42" s="1655"/>
      <c r="C42" s="1655"/>
      <c r="D42" s="1655"/>
      <c r="E42" s="1655"/>
    </row>
    <row r="43" spans="1:5" ht="15.75">
      <c r="A43" s="1142"/>
      <c r="B43" s="1149" t="s">
        <v>777</v>
      </c>
      <c r="C43" s="1136"/>
      <c r="D43" s="1418"/>
      <c r="E43" s="1142"/>
    </row>
    <row r="44" spans="1:5" ht="15">
      <c r="A44" s="1142"/>
      <c r="B44" s="1656" t="s">
        <v>814</v>
      </c>
      <c r="C44" s="1656"/>
      <c r="D44" s="1656"/>
      <c r="E44" s="1432"/>
    </row>
    <row r="45" spans="1:5" ht="15">
      <c r="A45" s="1142"/>
      <c r="B45" s="1656"/>
      <c r="C45" s="1656"/>
      <c r="D45" s="1656"/>
      <c r="E45" s="1432"/>
    </row>
    <row r="46" spans="1:5" ht="15">
      <c r="A46" s="1142"/>
      <c r="B46" s="1656"/>
      <c r="C46" s="1656"/>
      <c r="D46" s="1656"/>
      <c r="E46" s="1432"/>
    </row>
    <row r="47" spans="1:5" ht="15">
      <c r="A47" s="1142"/>
      <c r="B47" s="1656"/>
      <c r="C47" s="1656"/>
      <c r="D47" s="1656"/>
      <c r="E47" s="1432"/>
    </row>
    <row r="48" spans="1:5" ht="15">
      <c r="A48" s="1142"/>
      <c r="B48" s="1656"/>
      <c r="C48" s="1656"/>
      <c r="D48" s="1656"/>
      <c r="E48" s="1432"/>
    </row>
  </sheetData>
  <mergeCells count="10">
    <mergeCell ref="B40:E40"/>
    <mergeCell ref="B41:E41"/>
    <mergeCell ref="B42:E42"/>
    <mergeCell ref="B44:D48"/>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42426-1E59-4398-ACA1-F5BD822A1D86}">
  <dimension ref="A1:G60"/>
  <sheetViews>
    <sheetView view="pageBreakPreview" zoomScale="60" zoomScaleNormal="70" workbookViewId="0">
      <selection activeCell="A2" sqref="A2"/>
    </sheetView>
  </sheetViews>
  <sheetFormatPr defaultColWidth="9.140625" defaultRowHeight="12.75"/>
  <cols>
    <col min="1" max="1" width="38.85546875" style="1430" customWidth="1"/>
    <col min="2" max="2" width="28.42578125" style="1430" customWidth="1"/>
    <col min="3" max="3" width="23.140625" style="1430" customWidth="1"/>
    <col min="4" max="16384" width="9.140625" style="1430"/>
  </cols>
  <sheetData>
    <row r="1" spans="1:7" s="1142" customFormat="1" ht="15.75">
      <c r="A1" s="1431" t="s">
        <v>115</v>
      </c>
      <c r="G1" s="1143"/>
    </row>
    <row r="2" spans="1:7" s="1142" customFormat="1" ht="15.75">
      <c r="A2" s="1431" t="s">
        <v>115</v>
      </c>
      <c r="G2" s="1143"/>
    </row>
    <row r="3" spans="1:7" ht="19.5">
      <c r="A3" s="1654" t="s">
        <v>392</v>
      </c>
      <c r="B3" s="1654"/>
      <c r="C3" s="1654"/>
      <c r="D3" s="1654"/>
    </row>
    <row r="4" spans="1:7" ht="19.5">
      <c r="A4" s="1654" t="s">
        <v>770</v>
      </c>
      <c r="B4" s="1654"/>
      <c r="C4" s="1654"/>
      <c r="D4" s="1654"/>
    </row>
    <row r="5" spans="1:7" ht="19.5">
      <c r="A5" s="1654" t="s">
        <v>771</v>
      </c>
      <c r="B5" s="1654"/>
      <c r="C5" s="1654"/>
      <c r="D5" s="1654"/>
    </row>
    <row r="6" spans="1:7" ht="19.5">
      <c r="A6" s="1654" t="s">
        <v>1191</v>
      </c>
      <c r="B6" s="1654"/>
      <c r="C6" s="1654"/>
      <c r="D6" s="1654"/>
    </row>
    <row r="7" spans="1:7" ht="19.5">
      <c r="A7" s="1654" t="s">
        <v>772</v>
      </c>
      <c r="B7" s="1654"/>
      <c r="C7" s="1654"/>
      <c r="D7" s="1654"/>
    </row>
    <row r="8" spans="1:7" ht="19.5">
      <c r="A8" s="1654" t="s">
        <v>782</v>
      </c>
      <c r="B8" s="1654"/>
      <c r="C8" s="1654"/>
      <c r="D8" s="1654"/>
    </row>
    <row r="9" spans="1:7" ht="15">
      <c r="A9" s="1136"/>
      <c r="B9" s="1136"/>
      <c r="C9" s="1138" t="s">
        <v>115</v>
      </c>
      <c r="D9" s="1142"/>
    </row>
    <row r="10" spans="1:7" ht="15.75">
      <c r="A10" s="1136"/>
      <c r="B10" s="1150" t="s">
        <v>400</v>
      </c>
      <c r="C10" s="1142"/>
      <c r="D10" s="1142"/>
    </row>
    <row r="11" spans="1:7" ht="15.75">
      <c r="A11" s="1138"/>
      <c r="B11" s="1150" t="s">
        <v>404</v>
      </c>
      <c r="C11" s="1150" t="s">
        <v>405</v>
      </c>
      <c r="D11" s="1150"/>
    </row>
    <row r="12" spans="1:7" ht="15.75" thickBot="1">
      <c r="A12" s="1144"/>
      <c r="B12" s="1136"/>
      <c r="C12" s="1433" t="s">
        <v>500</v>
      </c>
      <c r="D12" s="1142"/>
    </row>
    <row r="13" spans="1:7" ht="15">
      <c r="A13" s="1146" t="s">
        <v>407</v>
      </c>
      <c r="B13" s="1147"/>
      <c r="C13" s="1419"/>
      <c r="D13" s="1142"/>
    </row>
    <row r="14" spans="1:7" ht="15">
      <c r="A14" s="1142" t="s">
        <v>408</v>
      </c>
      <c r="B14" s="1423">
        <v>352</v>
      </c>
      <c r="C14" s="1418">
        <v>2.0199999999999999E-2</v>
      </c>
      <c r="D14" s="1151"/>
    </row>
    <row r="15" spans="1:7" ht="15">
      <c r="A15" s="1142" t="s">
        <v>409</v>
      </c>
      <c r="B15" s="1423">
        <v>353</v>
      </c>
      <c r="C15" s="1418">
        <v>2.29E-2</v>
      </c>
      <c r="D15" s="1151"/>
    </row>
    <row r="16" spans="1:7" ht="15">
      <c r="A16" s="1434"/>
      <c r="B16" s="1423"/>
      <c r="C16" s="1418"/>
      <c r="D16" s="1151"/>
    </row>
    <row r="17" spans="1:4" ht="15">
      <c r="A17" s="1142" t="s">
        <v>783</v>
      </c>
      <c r="B17" s="1423">
        <v>354</v>
      </c>
      <c r="C17" s="1418">
        <v>1.8800000000000001E-2</v>
      </c>
      <c r="D17" s="1151"/>
    </row>
    <row r="18" spans="1:4" ht="15">
      <c r="A18" s="1142" t="s">
        <v>784</v>
      </c>
      <c r="B18" s="1423">
        <v>354</v>
      </c>
      <c r="C18" s="1418">
        <v>1.8800000000000001E-2</v>
      </c>
      <c r="D18" s="1151"/>
    </row>
    <row r="19" spans="1:4" ht="15">
      <c r="A19" s="1142"/>
      <c r="B19" s="1423"/>
      <c r="C19" s="1418"/>
      <c r="D19" s="1151"/>
    </row>
    <row r="20" spans="1:4" ht="15">
      <c r="A20" s="1142" t="s">
        <v>785</v>
      </c>
      <c r="B20" s="1423">
        <v>355</v>
      </c>
      <c r="C20" s="1418">
        <v>3.5200000000000002E-2</v>
      </c>
      <c r="D20" s="1151"/>
    </row>
    <row r="21" spans="1:4" ht="15">
      <c r="A21" s="1142" t="s">
        <v>786</v>
      </c>
      <c r="B21" s="1423">
        <v>355</v>
      </c>
      <c r="C21" s="1418">
        <v>3.5200000000000002E-2</v>
      </c>
      <c r="D21" s="1151"/>
    </row>
    <row r="22" spans="1:4" ht="15">
      <c r="A22" s="1142"/>
      <c r="B22" s="1423"/>
      <c r="C22" s="1418"/>
      <c r="D22" s="1151"/>
    </row>
    <row r="23" spans="1:4" ht="15">
      <c r="A23" s="1142" t="s">
        <v>787</v>
      </c>
      <c r="B23" s="1423">
        <v>356</v>
      </c>
      <c r="C23" s="1418">
        <v>1.9099999999999999E-2</v>
      </c>
      <c r="D23" s="1151"/>
    </row>
    <row r="24" spans="1:4" ht="15">
      <c r="A24" s="1142" t="s">
        <v>788</v>
      </c>
      <c r="B24" s="1423">
        <v>356</v>
      </c>
      <c r="C24" s="1418">
        <v>1.9099999999999999E-2</v>
      </c>
      <c r="D24" s="1151"/>
    </row>
    <row r="25" spans="1:4" ht="15">
      <c r="A25" s="1142" t="s">
        <v>789</v>
      </c>
      <c r="B25" s="1423">
        <v>356</v>
      </c>
      <c r="C25" s="1418">
        <v>1.9099999999999999E-2</v>
      </c>
      <c r="D25" s="1151"/>
    </row>
    <row r="26" spans="1:4" ht="15">
      <c r="A26" s="1142" t="s">
        <v>790</v>
      </c>
      <c r="B26" s="1423">
        <v>356</v>
      </c>
      <c r="C26" s="1418">
        <v>1.9099999999999999E-2</v>
      </c>
      <c r="D26" s="1151"/>
    </row>
    <row r="27" spans="1:4" ht="15">
      <c r="A27" s="1142" t="s">
        <v>791</v>
      </c>
      <c r="B27" s="1423">
        <v>356</v>
      </c>
      <c r="C27" s="1418">
        <v>1.9099999999999999E-2</v>
      </c>
      <c r="D27" s="1151"/>
    </row>
    <row r="28" spans="1:4" ht="15">
      <c r="A28" s="1142"/>
      <c r="B28" s="1423"/>
      <c r="C28" s="1418"/>
      <c r="D28" s="1151"/>
    </row>
    <row r="29" spans="1:4" ht="15">
      <c r="A29" s="1142" t="s">
        <v>412</v>
      </c>
      <c r="B29" s="1423">
        <v>357</v>
      </c>
      <c r="C29" s="1418">
        <v>2.2599999999999999E-2</v>
      </c>
      <c r="D29" s="1151"/>
    </row>
    <row r="30" spans="1:4" ht="15">
      <c r="A30" s="1142" t="s">
        <v>413</v>
      </c>
      <c r="B30" s="1423">
        <v>358</v>
      </c>
      <c r="C30" s="1418">
        <v>3.27E-2</v>
      </c>
      <c r="D30" s="1151"/>
    </row>
    <row r="31" spans="1:4" ht="15.75" thickBot="1">
      <c r="A31" s="1513"/>
      <c r="B31" s="1514"/>
      <c r="C31" s="1512"/>
      <c r="D31" s="1142"/>
    </row>
    <row r="32" spans="1:4" ht="15">
      <c r="A32" s="1434" t="s">
        <v>1192</v>
      </c>
      <c r="B32" s="1423">
        <v>390</v>
      </c>
      <c r="C32" s="1418">
        <v>2.1700000000000001E-2</v>
      </c>
    </row>
    <row r="33" spans="1:4" ht="15">
      <c r="A33" s="1142" t="s">
        <v>1183</v>
      </c>
      <c r="B33" s="1423">
        <v>391</v>
      </c>
      <c r="C33" s="1418">
        <v>3.3300000000000003E-2</v>
      </c>
    </row>
    <row r="34" spans="1:4" ht="15">
      <c r="A34" s="1142" t="s">
        <v>1184</v>
      </c>
      <c r="B34" s="1423">
        <v>392</v>
      </c>
      <c r="C34" s="1418">
        <v>0.02</v>
      </c>
    </row>
    <row r="35" spans="1:4" ht="15">
      <c r="A35" s="1142" t="s">
        <v>1185</v>
      </c>
      <c r="B35" s="1423">
        <v>393</v>
      </c>
      <c r="C35" s="1418">
        <v>2.9399999999999999E-2</v>
      </c>
    </row>
    <row r="36" spans="1:4" ht="15">
      <c r="A36" s="1142" t="s">
        <v>1186</v>
      </c>
      <c r="B36" s="1423">
        <v>394</v>
      </c>
      <c r="C36" s="1418">
        <v>3.5299999999999998E-2</v>
      </c>
    </row>
    <row r="37" spans="1:4" ht="15">
      <c r="A37" s="1142" t="s">
        <v>1187</v>
      </c>
      <c r="B37" s="1423">
        <v>395</v>
      </c>
      <c r="C37" s="1418">
        <v>3.5700000000000003E-2</v>
      </c>
    </row>
    <row r="38" spans="1:4" ht="15">
      <c r="A38" s="1142" t="s">
        <v>804</v>
      </c>
      <c r="B38" s="1423">
        <v>396</v>
      </c>
      <c r="C38" s="1418">
        <v>3.85E-2</v>
      </c>
    </row>
    <row r="39" spans="1:4" ht="15">
      <c r="A39" s="1142" t="s">
        <v>1188</v>
      </c>
      <c r="B39" s="1423">
        <v>397</v>
      </c>
      <c r="C39" s="1418">
        <v>2.86E-2</v>
      </c>
    </row>
    <row r="40" spans="1:4" ht="15">
      <c r="A40" s="1142" t="s">
        <v>1189</v>
      </c>
      <c r="B40" s="1423">
        <v>397.16</v>
      </c>
      <c r="C40" s="1418">
        <v>6.6699999999999995E-2</v>
      </c>
    </row>
    <row r="41" spans="1:4" ht="15">
      <c r="A41" s="1142" t="s">
        <v>1193</v>
      </c>
      <c r="B41" s="1423">
        <v>398</v>
      </c>
      <c r="C41" s="1418">
        <v>0.04</v>
      </c>
    </row>
    <row r="42" spans="1:4" ht="15">
      <c r="A42" s="1142" t="s">
        <v>1190</v>
      </c>
      <c r="B42" s="1136"/>
      <c r="C42" s="1418"/>
      <c r="D42" s="1142"/>
    </row>
    <row r="43" spans="1:4" ht="15">
      <c r="A43" s="1434"/>
      <c r="B43" s="1136"/>
      <c r="C43" s="1418"/>
      <c r="D43" s="1142"/>
    </row>
    <row r="44" spans="1:4" ht="15">
      <c r="A44" s="1144"/>
      <c r="B44" s="1136"/>
      <c r="C44" s="1418"/>
      <c r="D44" s="1142"/>
    </row>
    <row r="45" spans="1:4" ht="15">
      <c r="A45" s="1142"/>
      <c r="B45" s="1136"/>
      <c r="C45" s="1418"/>
      <c r="D45" s="1142"/>
    </row>
    <row r="46" spans="1:4" ht="15.75">
      <c r="A46" s="1142" t="s">
        <v>775</v>
      </c>
      <c r="B46" s="1148"/>
      <c r="C46" s="1425"/>
      <c r="D46" s="1142"/>
    </row>
    <row r="47" spans="1:4" ht="15">
      <c r="A47" s="1655" t="s">
        <v>792</v>
      </c>
      <c r="B47" s="1655"/>
      <c r="C47" s="1655"/>
      <c r="D47" s="1655"/>
    </row>
    <row r="48" spans="1:4" ht="15">
      <c r="A48" s="1142" t="s">
        <v>793</v>
      </c>
      <c r="B48" s="1142"/>
      <c r="C48" s="1142"/>
      <c r="D48" s="1142"/>
    </row>
    <row r="49" spans="1:4" ht="15">
      <c r="A49" s="1142" t="s">
        <v>794</v>
      </c>
      <c r="B49" s="1142"/>
      <c r="C49" s="1142"/>
      <c r="D49" s="1142"/>
    </row>
    <row r="50" spans="1:4" ht="15">
      <c r="A50" s="1142"/>
      <c r="B50" s="1142"/>
      <c r="C50" s="1142"/>
      <c r="D50" s="1142"/>
    </row>
    <row r="51" spans="1:4" ht="15">
      <c r="A51" s="1657" t="s">
        <v>1194</v>
      </c>
      <c r="B51" s="1657"/>
      <c r="C51" s="1657"/>
      <c r="D51" s="1142"/>
    </row>
    <row r="52" spans="1:4" ht="15">
      <c r="A52" s="1657"/>
      <c r="B52" s="1657"/>
      <c r="C52" s="1657"/>
      <c r="D52" s="1142"/>
    </row>
    <row r="53" spans="1:4" ht="15">
      <c r="A53" s="1142"/>
      <c r="B53" s="1142"/>
      <c r="C53" s="1142"/>
      <c r="D53" s="1142"/>
    </row>
    <row r="54" spans="1:4" ht="15.75">
      <c r="A54" s="1149" t="s">
        <v>795</v>
      </c>
      <c r="B54" s="1136"/>
      <c r="C54" s="1418"/>
      <c r="D54" s="1142"/>
    </row>
    <row r="55" spans="1:4">
      <c r="A55" s="1656" t="s">
        <v>814</v>
      </c>
      <c r="B55" s="1656"/>
      <c r="C55" s="1656"/>
      <c r="D55" s="1432"/>
    </row>
    <row r="56" spans="1:4">
      <c r="A56" s="1656"/>
      <c r="B56" s="1656"/>
      <c r="C56" s="1656"/>
      <c r="D56" s="1432"/>
    </row>
    <row r="57" spans="1:4">
      <c r="A57" s="1656"/>
      <c r="B57" s="1656"/>
      <c r="C57" s="1656"/>
      <c r="D57" s="1432"/>
    </row>
    <row r="58" spans="1:4">
      <c r="A58" s="1656"/>
      <c r="B58" s="1656"/>
      <c r="C58" s="1656"/>
      <c r="D58" s="1432"/>
    </row>
    <row r="59" spans="1:4">
      <c r="A59" s="1656"/>
      <c r="B59" s="1656"/>
      <c r="C59" s="1656"/>
      <c r="D59" s="1432"/>
    </row>
    <row r="60" spans="1:4" ht="15">
      <c r="A60" s="1142"/>
      <c r="B60" s="1142"/>
      <c r="C60" s="1142"/>
      <c r="D60" s="1142"/>
    </row>
  </sheetData>
  <mergeCells count="9">
    <mergeCell ref="A47:D47"/>
    <mergeCell ref="A51:C52"/>
    <mergeCell ref="A55:C59"/>
    <mergeCell ref="A3:D3"/>
    <mergeCell ref="A4:D4"/>
    <mergeCell ref="A5:D5"/>
    <mergeCell ref="A6:D6"/>
    <mergeCell ref="A7:D7"/>
    <mergeCell ref="A8:D8"/>
  </mergeCells>
  <pageMargins left="0.7" right="0.7" top="0.75" bottom="0.75" header="0.3" footer="0.3"/>
  <pageSetup scale="9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55E01-95ED-4150-90B6-903CC83052AD}">
  <sheetPr transitionEvaluation="1">
    <pageSetUpPr fitToPage="1"/>
  </sheetPr>
  <dimension ref="A1:H45"/>
  <sheetViews>
    <sheetView defaultGridColor="0" colorId="22" zoomScale="75" workbookViewId="0">
      <selection activeCell="A2" sqref="A2"/>
    </sheetView>
  </sheetViews>
  <sheetFormatPr defaultColWidth="14.5703125" defaultRowHeight="15"/>
  <cols>
    <col min="1" max="1" width="41.5703125" style="1142" customWidth="1"/>
    <col min="2" max="2" width="33.140625" style="1142" customWidth="1"/>
    <col min="3" max="4" width="31.85546875" style="1142" customWidth="1"/>
    <col min="5" max="5" width="16.5703125" style="1142" customWidth="1"/>
    <col min="6" max="6" width="14.5703125" style="1142" customWidth="1"/>
    <col min="7" max="7" width="4.85546875" style="1142" customWidth="1"/>
    <col min="8" max="8" width="14.5703125" style="1143" customWidth="1"/>
    <col min="9" max="9" width="18.42578125" style="1142" customWidth="1"/>
    <col min="10" max="10" width="15.5703125" style="1142" customWidth="1"/>
    <col min="11" max="11" width="6.140625" style="1142" customWidth="1"/>
    <col min="12" max="12" width="14.5703125" style="1142" customWidth="1"/>
    <col min="13" max="13" width="16.140625" style="1142" customWidth="1"/>
    <col min="14" max="14" width="14.5703125" style="1142" customWidth="1"/>
    <col min="15" max="15" width="4.85546875" style="1142" customWidth="1"/>
    <col min="16" max="16" width="18.5703125" style="1142" customWidth="1"/>
    <col min="17" max="16384" width="14.5703125" style="1142"/>
  </cols>
  <sheetData>
    <row r="1" spans="1:7" s="1142" customFormat="1" ht="15.75">
      <c r="A1" s="1431" t="s">
        <v>115</v>
      </c>
      <c r="G1" s="1143"/>
    </row>
    <row r="2" spans="1:7" s="1142" customFormat="1" ht="15.75">
      <c r="A2" s="1431" t="s">
        <v>115</v>
      </c>
      <c r="G2" s="1143"/>
    </row>
    <row r="3" spans="1:7" ht="19.5">
      <c r="B3" s="1654" t="s">
        <v>392</v>
      </c>
      <c r="C3" s="1654"/>
      <c r="D3" s="1654"/>
      <c r="E3" s="1654"/>
    </row>
    <row r="4" spans="1:7" ht="19.5">
      <c r="B4" s="1654" t="s">
        <v>770</v>
      </c>
      <c r="C4" s="1654"/>
      <c r="D4" s="1654"/>
      <c r="E4" s="1654"/>
    </row>
    <row r="5" spans="1:7" ht="19.5">
      <c r="B5" s="1654" t="s">
        <v>771</v>
      </c>
      <c r="C5" s="1654"/>
      <c r="D5" s="1654"/>
      <c r="E5" s="1654"/>
    </row>
    <row r="6" spans="1:7" ht="19.5">
      <c r="B6" s="1654" t="s">
        <v>1051</v>
      </c>
      <c r="C6" s="1654"/>
      <c r="D6" s="1654"/>
      <c r="E6" s="1654"/>
    </row>
    <row r="7" spans="1:7" ht="19.5">
      <c r="B7" s="1654" t="s">
        <v>772</v>
      </c>
      <c r="C7" s="1654"/>
      <c r="D7" s="1654"/>
      <c r="E7" s="1654"/>
    </row>
    <row r="8" spans="1:7" ht="19.5">
      <c r="B8" s="1654" t="s">
        <v>796</v>
      </c>
      <c r="C8" s="1654"/>
      <c r="D8" s="1654"/>
      <c r="E8" s="1654"/>
    </row>
    <row r="9" spans="1:7">
      <c r="B9" s="1136"/>
      <c r="C9" s="1136"/>
      <c r="D9" s="1138" t="s">
        <v>115</v>
      </c>
    </row>
    <row r="10" spans="1:7">
      <c r="A10" s="1656"/>
      <c r="B10" s="1656"/>
      <c r="C10" s="1656"/>
      <c r="D10" s="1432"/>
    </row>
    <row r="11" spans="1:7" ht="15.75">
      <c r="A11" s="1136"/>
      <c r="B11" s="1150" t="s">
        <v>400</v>
      </c>
    </row>
    <row r="12" spans="1:7" ht="15.75">
      <c r="A12" s="1138"/>
      <c r="B12" s="1150" t="s">
        <v>404</v>
      </c>
      <c r="C12" s="1150" t="s">
        <v>405</v>
      </c>
      <c r="D12" s="1150"/>
    </row>
    <row r="13" spans="1:7" ht="15.75" thickBot="1">
      <c r="C13" s="1151" t="s">
        <v>500</v>
      </c>
    </row>
    <row r="14" spans="1:7">
      <c r="A14" s="1146" t="s">
        <v>407</v>
      </c>
      <c r="B14" s="1147"/>
      <c r="C14" s="1419"/>
    </row>
    <row r="15" spans="1:7">
      <c r="A15" s="1434"/>
      <c r="D15" s="1151"/>
    </row>
    <row r="16" spans="1:7">
      <c r="A16" s="1142" t="s">
        <v>408</v>
      </c>
      <c r="B16" s="1423">
        <v>352</v>
      </c>
      <c r="C16" s="1418">
        <v>1.15E-2</v>
      </c>
      <c r="D16" s="1151"/>
    </row>
    <row r="17" spans="1:4">
      <c r="A17" s="1142" t="s">
        <v>409</v>
      </c>
      <c r="B17" s="1423">
        <v>353</v>
      </c>
      <c r="C17" s="1418">
        <v>2.2200000000000001E-2</v>
      </c>
      <c r="D17" s="1151"/>
    </row>
    <row r="18" spans="1:4">
      <c r="A18" s="1142" t="s">
        <v>410</v>
      </c>
      <c r="B18" s="1423">
        <v>354</v>
      </c>
      <c r="C18" s="1418">
        <v>2.6499999999999999E-2</v>
      </c>
      <c r="D18" s="1151"/>
    </row>
    <row r="19" spans="1:4">
      <c r="A19" s="1142" t="s">
        <v>411</v>
      </c>
      <c r="B19" s="1423">
        <v>355</v>
      </c>
      <c r="C19" s="1418">
        <v>2.41E-2</v>
      </c>
      <c r="D19" s="1151"/>
    </row>
    <row r="20" spans="1:4">
      <c r="A20" s="1142" t="s">
        <v>767</v>
      </c>
      <c r="B20" s="1423">
        <v>356</v>
      </c>
      <c r="C20" s="1418">
        <v>1.32E-2</v>
      </c>
      <c r="D20" s="1151"/>
    </row>
    <row r="21" spans="1:4">
      <c r="A21" s="1142" t="s">
        <v>412</v>
      </c>
      <c r="B21" s="1423">
        <v>351</v>
      </c>
      <c r="C21" s="1418">
        <v>9.9400000000000002E-2</v>
      </c>
      <c r="D21" s="1151"/>
    </row>
    <row r="22" spans="1:4">
      <c r="A22" s="1142" t="s">
        <v>413</v>
      </c>
      <c r="B22" s="1423">
        <v>351</v>
      </c>
      <c r="C22" s="1418">
        <v>0.13980000000000001</v>
      </c>
      <c r="D22" s="1151"/>
    </row>
    <row r="23" spans="1:4">
      <c r="A23" s="1142" t="s">
        <v>768</v>
      </c>
      <c r="B23" s="1423">
        <v>359</v>
      </c>
      <c r="C23" s="1433" t="s">
        <v>797</v>
      </c>
      <c r="D23" s="1151"/>
    </row>
    <row r="24" spans="1:4" ht="15.75" thickBot="1">
      <c r="B24" s="1423"/>
      <c r="C24" s="1418"/>
      <c r="D24" s="1151"/>
    </row>
    <row r="25" spans="1:4">
      <c r="A25" s="1146" t="s">
        <v>799</v>
      </c>
      <c r="B25" s="1147"/>
      <c r="C25" s="1419"/>
      <c r="D25" s="1151"/>
    </row>
    <row r="26" spans="1:4" ht="15" customHeight="1">
      <c r="B26" s="1423"/>
      <c r="C26" s="1418"/>
      <c r="D26" s="1151"/>
    </row>
    <row r="27" spans="1:4">
      <c r="A27" s="1142" t="s">
        <v>800</v>
      </c>
      <c r="B27" s="1423">
        <v>390</v>
      </c>
      <c r="C27" s="1418">
        <v>1.0800000000000001E-2</v>
      </c>
      <c r="D27" s="1151"/>
    </row>
    <row r="28" spans="1:4">
      <c r="A28" s="1142" t="s">
        <v>801</v>
      </c>
      <c r="B28" s="1423">
        <v>391</v>
      </c>
      <c r="C28" s="1418">
        <v>2.1299999999999999E-2</v>
      </c>
      <c r="D28" s="1151"/>
    </row>
    <row r="29" spans="1:4">
      <c r="A29" s="1142" t="s">
        <v>802</v>
      </c>
      <c r="B29" s="1423">
        <v>393</v>
      </c>
      <c r="C29" s="1418">
        <v>1.78E-2</v>
      </c>
      <c r="D29" s="1151"/>
    </row>
    <row r="30" spans="1:4" ht="15" customHeight="1">
      <c r="A30" s="1142" t="s">
        <v>803</v>
      </c>
      <c r="B30" s="1423">
        <v>394</v>
      </c>
      <c r="C30" s="1418">
        <v>1.6500000000000001E-2</v>
      </c>
      <c r="D30" s="1151"/>
    </row>
    <row r="31" spans="1:4">
      <c r="A31" s="1142" t="s">
        <v>805</v>
      </c>
      <c r="B31" s="1423">
        <v>397</v>
      </c>
      <c r="C31" s="1418">
        <v>5.0900000000000001E-2</v>
      </c>
      <c r="D31" s="1151"/>
    </row>
    <row r="32" spans="1:4">
      <c r="A32" s="1142" t="s">
        <v>806</v>
      </c>
      <c r="B32" s="1423">
        <v>398</v>
      </c>
      <c r="C32" s="1418">
        <v>2.76E-2</v>
      </c>
      <c r="D32" s="1151"/>
    </row>
    <row r="33" spans="1:4">
      <c r="B33" s="1423"/>
      <c r="C33" s="1418"/>
      <c r="D33" s="1151"/>
    </row>
    <row r="34" spans="1:4">
      <c r="B34" s="1423"/>
      <c r="C34" s="1418"/>
      <c r="D34" s="1151"/>
    </row>
    <row r="35" spans="1:4">
      <c r="B35" s="1423"/>
      <c r="C35" s="1418"/>
      <c r="D35" s="1151"/>
    </row>
    <row r="36" spans="1:4">
      <c r="A36" s="1434"/>
      <c r="B36" s="1136"/>
      <c r="C36" s="1418"/>
    </row>
    <row r="37" spans="1:4">
      <c r="A37" s="1655" t="s">
        <v>798</v>
      </c>
      <c r="B37" s="1655"/>
      <c r="C37" s="1655"/>
      <c r="D37" s="1655"/>
    </row>
    <row r="38" spans="1:4" ht="15.75">
      <c r="B38" s="1148"/>
      <c r="C38" s="1425"/>
    </row>
    <row r="39" spans="1:4">
      <c r="A39" s="1655"/>
      <c r="B39" s="1655"/>
      <c r="C39" s="1655"/>
      <c r="D39" s="1655"/>
    </row>
    <row r="40" spans="1:4" ht="15.75">
      <c r="A40" s="1149" t="s">
        <v>795</v>
      </c>
      <c r="B40" s="1136"/>
      <c r="C40" s="1418"/>
    </row>
    <row r="41" spans="1:4">
      <c r="A41" s="1656" t="s">
        <v>814</v>
      </c>
      <c r="B41" s="1656"/>
      <c r="C41" s="1656"/>
      <c r="D41" s="1432"/>
    </row>
    <row r="42" spans="1:4">
      <c r="A42" s="1656"/>
      <c r="B42" s="1656"/>
      <c r="C42" s="1656"/>
      <c r="D42" s="1432"/>
    </row>
    <row r="43" spans="1:4">
      <c r="A43" s="1656"/>
      <c r="B43" s="1656"/>
      <c r="C43" s="1656"/>
      <c r="D43" s="1432"/>
    </row>
    <row r="44" spans="1:4">
      <c r="A44" s="1656"/>
      <c r="B44" s="1656"/>
      <c r="C44" s="1656"/>
      <c r="D44" s="1432"/>
    </row>
    <row r="45" spans="1:4">
      <c r="A45" s="1656"/>
      <c r="B45" s="1656"/>
      <c r="C45" s="1656"/>
      <c r="D45" s="1432"/>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K57"/>
  <sheetViews>
    <sheetView view="pageBreakPreview" topLeftCell="A8" zoomScale="60" zoomScaleNormal="100" workbookViewId="0">
      <selection activeCell="F21" sqref="F21:F50"/>
    </sheetView>
  </sheetViews>
  <sheetFormatPr defaultRowHeight="12.75"/>
  <cols>
    <col min="1" max="1" width="32.85546875" customWidth="1"/>
    <col min="4" max="4" width="31.140625" customWidth="1"/>
    <col min="6" max="6" width="14.42578125" customWidth="1"/>
    <col min="8" max="8" width="20.28515625" customWidth="1"/>
    <col min="9" max="9" width="17.28515625" customWidth="1"/>
    <col min="11" max="11" width="22" bestFit="1" customWidth="1"/>
  </cols>
  <sheetData>
    <row r="1" spans="1:11" ht="15.75">
      <c r="A1" s="1658" t="s">
        <v>388</v>
      </c>
      <c r="B1" s="1658"/>
      <c r="C1" s="1658"/>
      <c r="D1" s="1658"/>
      <c r="E1" s="1658"/>
      <c r="F1" s="1658"/>
      <c r="G1" s="1658"/>
      <c r="H1" s="1658"/>
      <c r="I1" s="1658"/>
      <c r="J1" s="1658"/>
      <c r="K1" s="1658"/>
    </row>
    <row r="2" spans="1:11" ht="15.75">
      <c r="A2" s="1659" t="s">
        <v>569</v>
      </c>
      <c r="B2" s="1659"/>
      <c r="C2" s="1659"/>
      <c r="D2" s="1659"/>
      <c r="E2" s="1659"/>
      <c r="F2" s="1659"/>
      <c r="G2" s="1659"/>
      <c r="H2" s="1659"/>
      <c r="I2" s="1659"/>
      <c r="J2" s="1659"/>
      <c r="K2" s="1659"/>
    </row>
    <row r="3" spans="1:11" ht="15.75">
      <c r="A3" s="1659" t="s">
        <v>570</v>
      </c>
      <c r="B3" s="1659"/>
      <c r="C3" s="1659"/>
      <c r="D3" s="1659"/>
      <c r="E3" s="1659"/>
      <c r="F3" s="1659"/>
      <c r="G3" s="1659"/>
      <c r="H3" s="1659"/>
      <c r="I3" s="1659"/>
      <c r="J3" s="1659"/>
      <c r="K3" s="1659"/>
    </row>
    <row r="4" spans="1:11" ht="15.75">
      <c r="A4" s="533"/>
      <c r="B4" s="533"/>
      <c r="C4" s="533"/>
      <c r="D4" s="1659"/>
      <c r="E4" s="1659"/>
      <c r="F4" s="1659"/>
      <c r="G4" s="1659"/>
      <c r="H4" s="533"/>
      <c r="I4" s="533"/>
      <c r="J4" s="533"/>
      <c r="K4" s="533"/>
    </row>
    <row r="5" spans="1:11">
      <c r="A5" s="427"/>
      <c r="B5" s="427"/>
      <c r="C5" s="427"/>
      <c r="D5" s="427"/>
      <c r="E5" s="427"/>
      <c r="F5" s="427"/>
      <c r="G5" s="427"/>
      <c r="H5" s="427"/>
      <c r="I5" s="427"/>
      <c r="J5" s="427"/>
      <c r="K5" s="427"/>
    </row>
    <row r="6" spans="1:11">
      <c r="A6" s="427"/>
      <c r="B6" s="427"/>
      <c r="C6" s="427"/>
      <c r="D6" s="427"/>
      <c r="E6" s="427"/>
      <c r="F6" s="427"/>
      <c r="G6" s="427"/>
      <c r="H6" s="427"/>
      <c r="I6" s="427"/>
      <c r="J6" s="427"/>
      <c r="K6" s="427"/>
    </row>
    <row r="7" spans="1:11" ht="16.5" thickBot="1">
      <c r="A7" s="792"/>
      <c r="B7" s="793"/>
      <c r="C7" s="793"/>
      <c r="D7" s="793"/>
      <c r="E7" s="793"/>
      <c r="F7" s="793"/>
      <c r="G7" s="793"/>
      <c r="H7" s="793"/>
      <c r="I7" s="793"/>
      <c r="J7" s="793"/>
      <c r="K7" s="793"/>
    </row>
    <row r="8" spans="1:11" ht="47.25">
      <c r="A8" s="1340" t="str">
        <f>"Reconciliation Revenue Requirement For Year 2023 Available May 25, 2024"</f>
        <v>Reconciliation Revenue Requirement For Year 2023 Available May 25, 2024</v>
      </c>
      <c r="B8" s="1341"/>
      <c r="C8" s="1341"/>
      <c r="D8" s="1340" t="s">
        <v>1163</v>
      </c>
      <c r="E8" s="793"/>
      <c r="F8" s="793"/>
      <c r="G8" s="533"/>
      <c r="H8" s="794" t="s">
        <v>550</v>
      </c>
      <c r="I8" s="533"/>
      <c r="J8" s="533"/>
      <c r="K8" s="533"/>
    </row>
    <row r="9" spans="1:11" ht="15.75">
      <c r="A9" s="795" t="s">
        <v>115</v>
      </c>
      <c r="B9" s="793"/>
      <c r="C9" s="793"/>
      <c r="D9" s="795"/>
      <c r="E9" s="793"/>
      <c r="F9" s="793"/>
      <c r="G9" s="533"/>
      <c r="H9" s="796"/>
      <c r="I9" s="533"/>
      <c r="J9" s="533"/>
      <c r="K9" s="533"/>
    </row>
    <row r="10" spans="1:11" ht="16.5" thickBot="1">
      <c r="A10" s="881">
        <v>183906153.13157362</v>
      </c>
      <c r="B10" s="797" t="str">
        <f>"-"</f>
        <v>-</v>
      </c>
      <c r="C10" s="798"/>
      <c r="D10" s="881">
        <v>189253493.41886544</v>
      </c>
      <c r="E10" s="799"/>
      <c r="F10" s="800" t="str">
        <f>"="</f>
        <v>=</v>
      </c>
      <c r="G10" s="801"/>
      <c r="H10" s="802">
        <f>IF(A10=0,0,D10-A10)</f>
        <v>5347340.2872918248</v>
      </c>
      <c r="I10" s="533"/>
      <c r="J10" s="533"/>
      <c r="K10" s="533"/>
    </row>
    <row r="11" spans="1:11" ht="15.75">
      <c r="A11" s="803"/>
      <c r="B11" s="804"/>
      <c r="C11" s="804"/>
      <c r="D11" s="803"/>
      <c r="E11" s="803"/>
      <c r="F11" s="804"/>
      <c r="G11" s="803"/>
      <c r="H11" s="533"/>
      <c r="I11" s="533"/>
      <c r="J11" s="533"/>
      <c r="K11" s="533"/>
    </row>
    <row r="12" spans="1:11" ht="16.5" thickBot="1">
      <c r="A12" s="805"/>
      <c r="B12" s="806"/>
      <c r="C12" s="806"/>
      <c r="D12" s="805"/>
      <c r="E12" s="805"/>
      <c r="F12" s="806"/>
      <c r="G12" s="805"/>
      <c r="H12" s="807"/>
      <c r="I12" s="807"/>
      <c r="J12" s="807"/>
      <c r="K12" s="807"/>
    </row>
    <row r="13" spans="1:11" ht="15.75">
      <c r="A13" s="808"/>
      <c r="B13" s="804"/>
      <c r="C13" s="804"/>
      <c r="D13" s="803"/>
      <c r="E13" s="803"/>
      <c r="F13" s="804"/>
      <c r="G13" s="803"/>
      <c r="H13" s="533"/>
      <c r="I13" s="533"/>
      <c r="J13" s="533"/>
      <c r="K13" s="533"/>
    </row>
    <row r="14" spans="1:11" ht="47.25">
      <c r="A14" s="809" t="s">
        <v>551</v>
      </c>
      <c r="B14" s="804"/>
      <c r="C14" s="804"/>
      <c r="D14" s="810" t="s">
        <v>552</v>
      </c>
      <c r="E14" s="803"/>
      <c r="F14" s="810" t="s">
        <v>553</v>
      </c>
      <c r="G14" s="811" t="s">
        <v>554</v>
      </c>
      <c r="H14" s="812" t="s">
        <v>555</v>
      </c>
      <c r="I14" s="810" t="s">
        <v>556</v>
      </c>
      <c r="J14" s="813"/>
      <c r="K14" s="810" t="s">
        <v>557</v>
      </c>
    </row>
    <row r="15" spans="1:11" ht="15.75">
      <c r="A15" s="809" t="s">
        <v>558</v>
      </c>
      <c r="B15" s="804"/>
      <c r="C15" s="804"/>
      <c r="D15" s="533"/>
      <c r="E15" s="814"/>
      <c r="F15" s="882">
        <v>6.4749999999999981E-3</v>
      </c>
      <c r="G15" s="345"/>
      <c r="H15" s="533"/>
      <c r="I15" s="533"/>
      <c r="J15" s="533"/>
      <c r="K15" s="533"/>
    </row>
    <row r="16" spans="1:11" ht="15.75">
      <c r="A16" s="809"/>
      <c r="B16" s="804"/>
      <c r="C16" s="804"/>
      <c r="D16" s="533"/>
      <c r="E16" s="814"/>
      <c r="F16" s="814"/>
      <c r="G16" s="803"/>
      <c r="H16" s="533"/>
      <c r="I16" s="533"/>
      <c r="J16" s="533"/>
      <c r="K16" s="533"/>
    </row>
    <row r="17" spans="1:11" ht="15.75">
      <c r="A17" s="1342" t="s">
        <v>1196</v>
      </c>
      <c r="B17" s="804"/>
      <c r="C17" s="804"/>
      <c r="D17" s="533"/>
      <c r="E17" s="814"/>
      <c r="F17" s="814"/>
      <c r="G17" s="803"/>
      <c r="H17" s="533"/>
      <c r="I17" s="533"/>
      <c r="J17" s="533"/>
      <c r="K17" s="533"/>
    </row>
    <row r="18" spans="1:11" ht="15.75">
      <c r="A18" s="815" t="s">
        <v>115</v>
      </c>
      <c r="B18" s="804"/>
      <c r="C18" s="804"/>
      <c r="D18" s="804"/>
      <c r="E18" s="804"/>
      <c r="F18" s="1516" t="s">
        <v>115</v>
      </c>
      <c r="G18" s="533"/>
      <c r="H18" s="533"/>
      <c r="I18" s="533"/>
      <c r="J18" s="533"/>
      <c r="K18" s="533"/>
    </row>
    <row r="19" spans="1:11" ht="15.75">
      <c r="A19" s="816"/>
      <c r="B19" s="804"/>
      <c r="C19" s="804"/>
      <c r="D19" s="804"/>
      <c r="E19" s="804"/>
      <c r="F19" s="2"/>
      <c r="G19" s="533"/>
      <c r="H19" s="811"/>
      <c r="I19" s="804"/>
      <c r="J19" s="804"/>
      <c r="K19" s="804"/>
    </row>
    <row r="20" spans="1:11" ht="15.75">
      <c r="A20" s="816" t="s">
        <v>559</v>
      </c>
      <c r="B20" s="804"/>
      <c r="C20" s="804"/>
      <c r="D20" s="804"/>
      <c r="E20" s="804"/>
      <c r="F20" s="2"/>
      <c r="G20" s="533"/>
      <c r="H20" s="811" t="s">
        <v>560</v>
      </c>
      <c r="I20" s="804"/>
      <c r="J20" s="804"/>
      <c r="K20" s="804"/>
    </row>
    <row r="21" spans="1:11" ht="15.75">
      <c r="A21" s="793" t="s">
        <v>186</v>
      </c>
      <c r="B21" s="1341" t="str">
        <f>"Year "&amp;TCOS!L4-2</f>
        <v>Year 2023</v>
      </c>
      <c r="C21" s="793"/>
      <c r="D21" s="817">
        <f>H10/12</f>
        <v>445611.69060765207</v>
      </c>
      <c r="E21" s="817"/>
      <c r="F21" s="1517">
        <f>F15</f>
        <v>6.4749999999999981E-3</v>
      </c>
      <c r="G21" s="1249">
        <v>12</v>
      </c>
      <c r="H21" s="817">
        <f>F21*D21*G21*-1</f>
        <v>-34624.028360214557</v>
      </c>
      <c r="I21" s="817"/>
      <c r="J21" s="817"/>
      <c r="K21" s="817">
        <f>(-H21+D21)*-1</f>
        <v>-480235.71896786662</v>
      </c>
    </row>
    <row r="22" spans="1:11" ht="15.75">
      <c r="A22" s="793" t="s">
        <v>561</v>
      </c>
      <c r="B22" s="1341" t="str">
        <f>B21</f>
        <v>Year 2023</v>
      </c>
      <c r="C22" s="793"/>
      <c r="D22" s="817">
        <f>+D21</f>
        <v>445611.69060765207</v>
      </c>
      <c r="E22" s="817"/>
      <c r="F22" s="1517">
        <f>+F21</f>
        <v>6.4749999999999981E-3</v>
      </c>
      <c r="G22" s="1249">
        <f t="shared" ref="G22:G32" si="0">+G21-1</f>
        <v>11</v>
      </c>
      <c r="H22" s="817">
        <f t="shared" ref="H22:H32" si="1">F22*D22*G22*-1</f>
        <v>-31738.692663530008</v>
      </c>
      <c r="I22" s="817"/>
      <c r="J22" s="817"/>
      <c r="K22" s="817">
        <f t="shared" ref="K22:K32" si="2">(-H22+D22)*-1</f>
        <v>-477350.38327118207</v>
      </c>
    </row>
    <row r="23" spans="1:11" ht="15.75">
      <c r="A23" s="793" t="s">
        <v>187</v>
      </c>
      <c r="B23" s="1341" t="str">
        <f t="shared" ref="B23:B32" si="3">B22</f>
        <v>Year 2023</v>
      </c>
      <c r="C23" s="793"/>
      <c r="D23" s="817">
        <f t="shared" ref="D23:D32" si="4">+D22</f>
        <v>445611.69060765207</v>
      </c>
      <c r="E23" s="817"/>
      <c r="F23" s="1517">
        <f t="shared" ref="F23:F32" si="5">+F22</f>
        <v>6.4749999999999981E-3</v>
      </c>
      <c r="G23" s="1249">
        <f t="shared" si="0"/>
        <v>10</v>
      </c>
      <c r="H23" s="817">
        <f t="shared" si="1"/>
        <v>-28853.356966845462</v>
      </c>
      <c r="I23" s="817"/>
      <c r="J23" s="817"/>
      <c r="K23" s="817">
        <f t="shared" si="2"/>
        <v>-474465.04757449753</v>
      </c>
    </row>
    <row r="24" spans="1:11" ht="15.75">
      <c r="A24" s="793" t="s">
        <v>188</v>
      </c>
      <c r="B24" s="1341" t="str">
        <f t="shared" si="3"/>
        <v>Year 2023</v>
      </c>
      <c r="C24" s="793"/>
      <c r="D24" s="817">
        <f t="shared" si="4"/>
        <v>445611.69060765207</v>
      </c>
      <c r="E24" s="817"/>
      <c r="F24" s="1517">
        <f t="shared" si="5"/>
        <v>6.4749999999999981E-3</v>
      </c>
      <c r="G24" s="1249">
        <f t="shared" si="0"/>
        <v>9</v>
      </c>
      <c r="H24" s="817">
        <f t="shared" si="1"/>
        <v>-25968.021270160916</v>
      </c>
      <c r="I24" s="817"/>
      <c r="J24" s="817"/>
      <c r="K24" s="817">
        <f t="shared" si="2"/>
        <v>-471579.71187781298</v>
      </c>
    </row>
    <row r="25" spans="1:11" ht="15.75">
      <c r="A25" s="793" t="s">
        <v>189</v>
      </c>
      <c r="B25" s="1341" t="str">
        <f t="shared" si="3"/>
        <v>Year 2023</v>
      </c>
      <c r="C25" s="793"/>
      <c r="D25" s="817">
        <f t="shared" si="4"/>
        <v>445611.69060765207</v>
      </c>
      <c r="E25" s="817"/>
      <c r="F25" s="1517">
        <f t="shared" si="5"/>
        <v>6.4749999999999981E-3</v>
      </c>
      <c r="G25" s="1249">
        <f t="shared" si="0"/>
        <v>8</v>
      </c>
      <c r="H25" s="817">
        <f t="shared" si="1"/>
        <v>-23082.68557347637</v>
      </c>
      <c r="I25" s="817"/>
      <c r="J25" s="817"/>
      <c r="K25" s="817">
        <f t="shared" si="2"/>
        <v>-468694.37618112843</v>
      </c>
    </row>
    <row r="26" spans="1:11" ht="15.75">
      <c r="A26" s="793" t="s">
        <v>383</v>
      </c>
      <c r="B26" s="1341" t="str">
        <f t="shared" si="3"/>
        <v>Year 2023</v>
      </c>
      <c r="C26" s="793"/>
      <c r="D26" s="817">
        <f t="shared" si="4"/>
        <v>445611.69060765207</v>
      </c>
      <c r="E26" s="817"/>
      <c r="F26" s="1517">
        <f t="shared" si="5"/>
        <v>6.4749999999999981E-3</v>
      </c>
      <c r="G26" s="1249">
        <f t="shared" si="0"/>
        <v>7</v>
      </c>
      <c r="H26" s="817">
        <f t="shared" si="1"/>
        <v>-20197.349876791824</v>
      </c>
      <c r="I26" s="817"/>
      <c r="J26" s="817"/>
      <c r="K26" s="817">
        <f t="shared" si="2"/>
        <v>-465809.04048444389</v>
      </c>
    </row>
    <row r="27" spans="1:11" ht="15.75">
      <c r="A27" s="793" t="s">
        <v>190</v>
      </c>
      <c r="B27" s="1341" t="str">
        <f t="shared" si="3"/>
        <v>Year 2023</v>
      </c>
      <c r="C27" s="793"/>
      <c r="D27" s="817">
        <f t="shared" si="4"/>
        <v>445611.69060765207</v>
      </c>
      <c r="E27" s="817"/>
      <c r="F27" s="1517">
        <f t="shared" si="5"/>
        <v>6.4749999999999981E-3</v>
      </c>
      <c r="G27" s="1249">
        <f t="shared" si="0"/>
        <v>6</v>
      </c>
      <c r="H27" s="817">
        <f t="shared" si="1"/>
        <v>-17312.014180107279</v>
      </c>
      <c r="I27" s="817"/>
      <c r="J27" s="817"/>
      <c r="K27" s="817">
        <f t="shared" si="2"/>
        <v>-462923.70478775934</v>
      </c>
    </row>
    <row r="28" spans="1:11" ht="15.75">
      <c r="A28" s="793" t="s">
        <v>191</v>
      </c>
      <c r="B28" s="1341" t="str">
        <f t="shared" si="3"/>
        <v>Year 2023</v>
      </c>
      <c r="C28" s="793"/>
      <c r="D28" s="817">
        <f t="shared" si="4"/>
        <v>445611.69060765207</v>
      </c>
      <c r="E28" s="817"/>
      <c r="F28" s="1517">
        <f t="shared" si="5"/>
        <v>6.4749999999999981E-3</v>
      </c>
      <c r="G28" s="1249">
        <f t="shared" si="0"/>
        <v>5</v>
      </c>
      <c r="H28" s="817">
        <f t="shared" si="1"/>
        <v>-14426.678483422731</v>
      </c>
      <c r="I28" s="817"/>
      <c r="J28" s="817"/>
      <c r="K28" s="817">
        <f t="shared" si="2"/>
        <v>-460038.3690910748</v>
      </c>
    </row>
    <row r="29" spans="1:11" ht="15.75">
      <c r="A29" s="793" t="s">
        <v>193</v>
      </c>
      <c r="B29" s="1341" t="str">
        <f t="shared" si="3"/>
        <v>Year 2023</v>
      </c>
      <c r="C29" s="793"/>
      <c r="D29" s="817">
        <f t="shared" si="4"/>
        <v>445611.69060765207</v>
      </c>
      <c r="E29" s="817"/>
      <c r="F29" s="1517">
        <f t="shared" si="5"/>
        <v>6.4749999999999981E-3</v>
      </c>
      <c r="G29" s="1249">
        <f t="shared" si="0"/>
        <v>4</v>
      </c>
      <c r="H29" s="817">
        <f t="shared" si="1"/>
        <v>-11541.342786738185</v>
      </c>
      <c r="I29" s="817"/>
      <c r="J29" s="817"/>
      <c r="K29" s="817">
        <f t="shared" si="2"/>
        <v>-457153.03339439025</v>
      </c>
    </row>
    <row r="30" spans="1:11" ht="15.75">
      <c r="A30" s="793" t="s">
        <v>562</v>
      </c>
      <c r="B30" s="1341" t="str">
        <f t="shared" si="3"/>
        <v>Year 2023</v>
      </c>
      <c r="C30" s="793"/>
      <c r="D30" s="817">
        <f t="shared" si="4"/>
        <v>445611.69060765207</v>
      </c>
      <c r="E30" s="817"/>
      <c r="F30" s="1517">
        <f t="shared" si="5"/>
        <v>6.4749999999999981E-3</v>
      </c>
      <c r="G30" s="1249">
        <f t="shared" si="0"/>
        <v>3</v>
      </c>
      <c r="H30" s="817">
        <f t="shared" si="1"/>
        <v>-8656.0070900536393</v>
      </c>
      <c r="I30" s="817"/>
      <c r="J30" s="817"/>
      <c r="K30" s="817">
        <f t="shared" si="2"/>
        <v>-454267.69769770571</v>
      </c>
    </row>
    <row r="31" spans="1:11" ht="15.75">
      <c r="A31" s="793" t="s">
        <v>563</v>
      </c>
      <c r="B31" s="1341" t="str">
        <f t="shared" si="3"/>
        <v>Year 2023</v>
      </c>
      <c r="C31" s="793"/>
      <c r="D31" s="817">
        <f t="shared" si="4"/>
        <v>445611.69060765207</v>
      </c>
      <c r="E31" s="817"/>
      <c r="F31" s="1517">
        <f t="shared" si="5"/>
        <v>6.4749999999999981E-3</v>
      </c>
      <c r="G31" s="1249">
        <f t="shared" si="0"/>
        <v>2</v>
      </c>
      <c r="H31" s="817">
        <f t="shared" si="1"/>
        <v>-5770.6713933690926</v>
      </c>
      <c r="I31" s="817"/>
      <c r="J31" s="817"/>
      <c r="K31" s="817">
        <f t="shared" si="2"/>
        <v>-451382.36200102116</v>
      </c>
    </row>
    <row r="32" spans="1:11" ht="15.75">
      <c r="A32" s="793" t="s">
        <v>192</v>
      </c>
      <c r="B32" s="1341" t="str">
        <f t="shared" si="3"/>
        <v>Year 2023</v>
      </c>
      <c r="C32" s="793"/>
      <c r="D32" s="817">
        <f t="shared" si="4"/>
        <v>445611.69060765207</v>
      </c>
      <c r="E32" s="817"/>
      <c r="F32" s="1517">
        <f t="shared" si="5"/>
        <v>6.4749999999999981E-3</v>
      </c>
      <c r="G32" s="1249">
        <f t="shared" si="0"/>
        <v>1</v>
      </c>
      <c r="H32" s="820">
        <f t="shared" si="1"/>
        <v>-2885.3356966845463</v>
      </c>
      <c r="I32" s="817"/>
      <c r="J32" s="817"/>
      <c r="K32" s="817">
        <f t="shared" si="2"/>
        <v>-448497.02630433661</v>
      </c>
    </row>
    <row r="33" spans="1:11" ht="15.75">
      <c r="A33" s="793"/>
      <c r="B33" s="1341"/>
      <c r="C33" s="793"/>
      <c r="D33" s="817"/>
      <c r="E33" s="817"/>
      <c r="F33" s="1517"/>
      <c r="G33" s="804"/>
      <c r="H33" s="817">
        <f>SUM(H21:H32)</f>
        <v>-225056.1843413946</v>
      </c>
      <c r="I33" s="817"/>
      <c r="J33" s="817"/>
      <c r="K33" s="821">
        <f>SUM(K21:K32)</f>
        <v>-5572396.4716332201</v>
      </c>
    </row>
    <row r="34" spans="1:11" ht="15.75">
      <c r="A34" s="793"/>
      <c r="B34" s="1341"/>
      <c r="C34" s="793"/>
      <c r="D34" s="817"/>
      <c r="E34" s="817"/>
      <c r="F34" s="1517"/>
      <c r="G34" s="804"/>
      <c r="H34" s="817"/>
      <c r="I34" s="817" t="s">
        <v>115</v>
      </c>
      <c r="J34" s="817"/>
      <c r="K34" s="533"/>
    </row>
    <row r="35" spans="1:11" ht="15.75">
      <c r="A35" s="793"/>
      <c r="B35" s="1341"/>
      <c r="C35" s="793"/>
      <c r="D35" s="803"/>
      <c r="E35" s="803"/>
      <c r="F35" s="1517"/>
      <c r="G35" s="804"/>
      <c r="H35" s="822" t="s">
        <v>564</v>
      </c>
      <c r="I35" s="817"/>
      <c r="J35" s="817"/>
      <c r="K35" s="817"/>
    </row>
    <row r="36" spans="1:11" ht="15.75">
      <c r="A36" s="793" t="s">
        <v>565</v>
      </c>
      <c r="B36" s="1341" t="str">
        <f>"Year "&amp;TCOS!L4-1</f>
        <v>Year 2024</v>
      </c>
      <c r="C36" s="793"/>
      <c r="D36" s="803">
        <f>K33</f>
        <v>-5572396.4716332201</v>
      </c>
      <c r="E36" s="803"/>
      <c r="F36" s="1517">
        <f>F32</f>
        <v>6.4749999999999981E-3</v>
      </c>
      <c r="G36" s="1249">
        <v>12</v>
      </c>
      <c r="H36" s="817">
        <f>+G36*F36*D36</f>
        <v>-432975.2058459011</v>
      </c>
      <c r="I36" s="817"/>
      <c r="J36" s="817"/>
      <c r="K36" s="821">
        <f>+D36+H36</f>
        <v>-6005371.6774791209</v>
      </c>
    </row>
    <row r="37" spans="1:11" ht="15.75">
      <c r="A37" s="793"/>
      <c r="B37" s="1341"/>
      <c r="C37" s="793"/>
      <c r="D37" s="803"/>
      <c r="E37" s="803"/>
      <c r="F37" s="1517"/>
      <c r="G37" s="793"/>
      <c r="H37" s="817"/>
      <c r="I37" s="817"/>
      <c r="J37" s="817"/>
      <c r="K37" s="817"/>
    </row>
    <row r="38" spans="1:11" ht="15.75">
      <c r="A38" s="823" t="s">
        <v>566</v>
      </c>
      <c r="B38" s="1341"/>
      <c r="C38" s="793"/>
      <c r="D38" s="817"/>
      <c r="E38" s="817"/>
      <c r="F38" s="1517"/>
      <c r="G38" s="793"/>
      <c r="H38" s="822" t="s">
        <v>560</v>
      </c>
      <c r="I38" s="817"/>
      <c r="J38" s="817"/>
      <c r="K38" s="817"/>
    </row>
    <row r="39" spans="1:11" ht="15.75">
      <c r="A39" s="793" t="s">
        <v>186</v>
      </c>
      <c r="B39" s="1341" t="str">
        <f>"Year "&amp;TCOS!L4</f>
        <v>Year 2025</v>
      </c>
      <c r="C39" s="793"/>
      <c r="D39" s="803">
        <f>-K36</f>
        <v>6005371.6774791209</v>
      </c>
      <c r="E39" s="803"/>
      <c r="F39" s="1517">
        <f>F15</f>
        <v>6.4749999999999981E-3</v>
      </c>
      <c r="G39" s="793"/>
      <c r="H39" s="817">
        <f xml:space="preserve"> -F39*D39</f>
        <v>-38884.781611677296</v>
      </c>
      <c r="I39" s="817">
        <f>PMT(F39,12,K$36)</f>
        <v>521759.42924376094</v>
      </c>
      <c r="J39" s="817"/>
      <c r="K39" s="817">
        <f>(+D39+D39*F39-I39)*-1</f>
        <v>-5522497.029847037</v>
      </c>
    </row>
    <row r="40" spans="1:11" ht="15.75">
      <c r="A40" s="793" t="s">
        <v>561</v>
      </c>
      <c r="B40" s="1341" t="str">
        <f>+B39</f>
        <v>Year 2025</v>
      </c>
      <c r="C40" s="793"/>
      <c r="D40" s="803">
        <f>-K39</f>
        <v>5522497.029847037</v>
      </c>
      <c r="E40" s="803"/>
      <c r="F40" s="1517">
        <f>+F39</f>
        <v>6.4749999999999981E-3</v>
      </c>
      <c r="G40" s="793"/>
      <c r="H40" s="817">
        <f xml:space="preserve"> -F40*D40</f>
        <v>-35758.168268259556</v>
      </c>
      <c r="I40" s="817">
        <f>I39</f>
        <v>521759.42924376094</v>
      </c>
      <c r="J40" s="817"/>
      <c r="K40" s="817">
        <f t="shared" ref="K40:K50" si="6">(+D40+D40*F40-I40)*-1</f>
        <v>-5036495.7688715355</v>
      </c>
    </row>
    <row r="41" spans="1:11" ht="15.75">
      <c r="A41" s="793" t="s">
        <v>187</v>
      </c>
      <c r="B41" s="1341" t="str">
        <f>+B40</f>
        <v>Year 2025</v>
      </c>
      <c r="C41" s="793"/>
      <c r="D41" s="803">
        <f t="shared" ref="D41:D50" si="7">-K40</f>
        <v>5036495.7688715355</v>
      </c>
      <c r="E41" s="803"/>
      <c r="F41" s="1517">
        <f t="shared" ref="F41:F50" si="8">+F40</f>
        <v>6.4749999999999981E-3</v>
      </c>
      <c r="G41" s="793"/>
      <c r="H41" s="817">
        <f t="shared" ref="H41:H50" si="9" xml:space="preserve"> -F41*D41</f>
        <v>-32611.310103443182</v>
      </c>
      <c r="I41" s="817">
        <f t="shared" ref="I41:I50" si="10">I40</f>
        <v>521759.42924376094</v>
      </c>
      <c r="J41" s="817"/>
      <c r="K41" s="817">
        <f t="shared" si="6"/>
        <v>-4547347.6497312179</v>
      </c>
    </row>
    <row r="42" spans="1:11" ht="15.75">
      <c r="A42" s="793" t="s">
        <v>188</v>
      </c>
      <c r="B42" s="1341" t="str">
        <f>+B41</f>
        <v>Year 2025</v>
      </c>
      <c r="C42" s="793"/>
      <c r="D42" s="803">
        <f t="shared" si="7"/>
        <v>4547347.6497312179</v>
      </c>
      <c r="E42" s="803"/>
      <c r="F42" s="1517">
        <f t="shared" si="8"/>
        <v>6.4749999999999981E-3</v>
      </c>
      <c r="G42" s="793"/>
      <c r="H42" s="817">
        <f t="shared" si="9"/>
        <v>-29444.076032009627</v>
      </c>
      <c r="I42" s="817">
        <f t="shared" si="10"/>
        <v>521759.42924376094</v>
      </c>
      <c r="J42" s="817"/>
      <c r="K42" s="817">
        <f t="shared" si="6"/>
        <v>-4055032.2965194667</v>
      </c>
    </row>
    <row r="43" spans="1:11" ht="15.75">
      <c r="A43" s="793" t="s">
        <v>189</v>
      </c>
      <c r="B43" s="1341" t="str">
        <f>+B42</f>
        <v>Year 2025</v>
      </c>
      <c r="C43" s="793"/>
      <c r="D43" s="803">
        <f t="shared" si="7"/>
        <v>4055032.2965194667</v>
      </c>
      <c r="E43" s="803"/>
      <c r="F43" s="1517">
        <f t="shared" si="8"/>
        <v>6.4749999999999981E-3</v>
      </c>
      <c r="G43" s="793"/>
      <c r="H43" s="817">
        <f t="shared" si="9"/>
        <v>-26256.33411996354</v>
      </c>
      <c r="I43" s="817">
        <f>I42</f>
        <v>521759.42924376094</v>
      </c>
      <c r="J43" s="817"/>
      <c r="K43" s="817">
        <f t="shared" si="6"/>
        <v>-3559529.201395669</v>
      </c>
    </row>
    <row r="44" spans="1:11" ht="15.75">
      <c r="A44" s="793" t="s">
        <v>383</v>
      </c>
      <c r="B44" s="1341" t="str">
        <f>B43</f>
        <v>Year 2025</v>
      </c>
      <c r="C44" s="533"/>
      <c r="D44" s="803">
        <f t="shared" si="7"/>
        <v>3559529.201395669</v>
      </c>
      <c r="E44" s="803"/>
      <c r="F44" s="1517">
        <f t="shared" si="8"/>
        <v>6.4749999999999981E-3</v>
      </c>
      <c r="G44" s="793"/>
      <c r="H44" s="817">
        <f t="shared" si="9"/>
        <v>-23047.951579036951</v>
      </c>
      <c r="I44" s="817">
        <f t="shared" si="10"/>
        <v>521759.42924376094</v>
      </c>
      <c r="J44" s="817"/>
      <c r="K44" s="817">
        <f t="shared" si="6"/>
        <v>-3060817.723730945</v>
      </c>
    </row>
    <row r="45" spans="1:11" ht="15.75">
      <c r="A45" s="793" t="s">
        <v>190</v>
      </c>
      <c r="B45" s="1341" t="str">
        <f t="shared" ref="B45:B50" si="11">+B44</f>
        <v>Year 2025</v>
      </c>
      <c r="C45" s="793"/>
      <c r="D45" s="803">
        <f t="shared" si="7"/>
        <v>3060817.723730945</v>
      </c>
      <c r="E45" s="803"/>
      <c r="F45" s="1517">
        <f t="shared" si="8"/>
        <v>6.4749999999999981E-3</v>
      </c>
      <c r="G45" s="793"/>
      <c r="H45" s="817">
        <f t="shared" si="9"/>
        <v>-19818.794761157864</v>
      </c>
      <c r="I45" s="817">
        <f t="shared" si="10"/>
        <v>521759.42924376094</v>
      </c>
      <c r="J45" s="817"/>
      <c r="K45" s="817">
        <f t="shared" si="6"/>
        <v>-2558877.089248342</v>
      </c>
    </row>
    <row r="46" spans="1:11" ht="15.75">
      <c r="A46" s="793" t="s">
        <v>191</v>
      </c>
      <c r="B46" s="1341" t="str">
        <f t="shared" si="11"/>
        <v>Year 2025</v>
      </c>
      <c r="C46" s="793"/>
      <c r="D46" s="803">
        <f t="shared" si="7"/>
        <v>2558877.089248342</v>
      </c>
      <c r="E46" s="803"/>
      <c r="F46" s="1517">
        <f t="shared" si="8"/>
        <v>6.4749999999999981E-3</v>
      </c>
      <c r="G46" s="793"/>
      <c r="H46" s="817">
        <f t="shared" si="9"/>
        <v>-16568.72915288301</v>
      </c>
      <c r="I46" s="817">
        <f t="shared" si="10"/>
        <v>521759.42924376094</v>
      </c>
      <c r="J46" s="817"/>
      <c r="K46" s="817">
        <f t="shared" si="6"/>
        <v>-2053686.389157464</v>
      </c>
    </row>
    <row r="47" spans="1:11" ht="15.75">
      <c r="A47" s="793" t="s">
        <v>193</v>
      </c>
      <c r="B47" s="1341" t="str">
        <f t="shared" si="11"/>
        <v>Year 2025</v>
      </c>
      <c r="C47" s="793"/>
      <c r="D47" s="803">
        <f t="shared" si="7"/>
        <v>2053686.389157464</v>
      </c>
      <c r="E47" s="803"/>
      <c r="F47" s="1517">
        <f t="shared" si="8"/>
        <v>6.4749999999999981E-3</v>
      </c>
      <c r="G47" s="793"/>
      <c r="H47" s="817">
        <f t="shared" si="9"/>
        <v>-13297.619369794576</v>
      </c>
      <c r="I47" s="817">
        <f>I46</f>
        <v>521759.42924376094</v>
      </c>
      <c r="J47" s="817"/>
      <c r="K47" s="817">
        <f t="shared" si="6"/>
        <v>-1545224.5792834978</v>
      </c>
    </row>
    <row r="48" spans="1:11" ht="15.75">
      <c r="A48" s="793" t="s">
        <v>562</v>
      </c>
      <c r="B48" s="1341" t="str">
        <f t="shared" si="11"/>
        <v>Year 2025</v>
      </c>
      <c r="C48" s="793"/>
      <c r="D48" s="803">
        <f t="shared" si="7"/>
        <v>1545224.5792834978</v>
      </c>
      <c r="E48" s="803"/>
      <c r="F48" s="1517">
        <f t="shared" si="8"/>
        <v>6.4749999999999981E-3</v>
      </c>
      <c r="G48" s="793"/>
      <c r="H48" s="817">
        <f t="shared" si="9"/>
        <v>-10005.329150860645</v>
      </c>
      <c r="I48" s="817">
        <f t="shared" si="10"/>
        <v>521759.42924376094</v>
      </c>
      <c r="J48" s="817"/>
      <c r="K48" s="817">
        <f t="shared" si="6"/>
        <v>-1033470.4791905975</v>
      </c>
    </row>
    <row r="49" spans="1:11" ht="15.75">
      <c r="A49" s="793" t="s">
        <v>563</v>
      </c>
      <c r="B49" s="1341" t="str">
        <f t="shared" si="11"/>
        <v>Year 2025</v>
      </c>
      <c r="C49" s="793"/>
      <c r="D49" s="803">
        <f t="shared" si="7"/>
        <v>1033470.4791905975</v>
      </c>
      <c r="E49" s="803"/>
      <c r="F49" s="1517">
        <f t="shared" si="8"/>
        <v>6.4749999999999981E-3</v>
      </c>
      <c r="G49" s="793"/>
      <c r="H49" s="817">
        <f t="shared" si="9"/>
        <v>-6691.7213527591175</v>
      </c>
      <c r="I49" s="817">
        <f t="shared" si="10"/>
        <v>521759.42924376094</v>
      </c>
      <c r="J49" s="817"/>
      <c r="K49" s="817">
        <f t="shared" si="6"/>
        <v>-518402.77129959577</v>
      </c>
    </row>
    <row r="50" spans="1:11" ht="15.75">
      <c r="A50" s="793" t="s">
        <v>192</v>
      </c>
      <c r="B50" s="1341" t="str">
        <f t="shared" si="11"/>
        <v>Year 2025</v>
      </c>
      <c r="C50" s="793"/>
      <c r="D50" s="803">
        <f t="shared" si="7"/>
        <v>518402.77129959577</v>
      </c>
      <c r="E50" s="803"/>
      <c r="F50" s="1517">
        <f t="shared" si="8"/>
        <v>6.4749999999999981E-3</v>
      </c>
      <c r="G50" s="793"/>
      <c r="H50" s="820">
        <f t="shared" si="9"/>
        <v>-3356.6579441648814</v>
      </c>
      <c r="I50" s="817">
        <f t="shared" si="10"/>
        <v>521759.42924376094</v>
      </c>
      <c r="J50" s="817"/>
      <c r="K50" s="817">
        <f t="shared" si="6"/>
        <v>2.9103830456733704E-10</v>
      </c>
    </row>
    <row r="51" spans="1:11" ht="15.75">
      <c r="A51" s="793"/>
      <c r="B51" s="793"/>
      <c r="C51" s="793"/>
      <c r="D51" s="803"/>
      <c r="E51" s="803"/>
      <c r="F51" s="818"/>
      <c r="G51" s="793"/>
      <c r="H51" s="817">
        <f>SUM(H39:H50)</f>
        <v>-255741.4734460102</v>
      </c>
      <c r="I51" s="817"/>
      <c r="J51" s="817"/>
      <c r="K51" s="817"/>
    </row>
    <row r="52" spans="1:11" ht="15">
      <c r="A52" s="533"/>
      <c r="B52" s="533"/>
      <c r="C52" s="533"/>
      <c r="D52" s="533"/>
      <c r="E52" s="533"/>
      <c r="F52" s="533"/>
      <c r="G52" s="533"/>
      <c r="H52" s="533"/>
      <c r="I52" s="825"/>
      <c r="J52" s="533"/>
      <c r="K52" s="533"/>
    </row>
    <row r="53" spans="1:11" ht="15.75">
      <c r="A53" s="793" t="s">
        <v>571</v>
      </c>
      <c r="B53" s="533"/>
      <c r="C53" s="533"/>
      <c r="D53" s="533"/>
      <c r="E53" s="533"/>
      <c r="F53" s="533"/>
      <c r="G53" s="533"/>
      <c r="H53" s="533"/>
      <c r="I53" s="826">
        <f>(SUM(I39:I50)*-1)</f>
        <v>-6261113.1509251324</v>
      </c>
      <c r="J53" s="533"/>
      <c r="K53" s="533"/>
    </row>
    <row r="54" spans="1:11" ht="15.75">
      <c r="A54" s="793" t="s">
        <v>567</v>
      </c>
      <c r="B54" s="533"/>
      <c r="C54" s="533"/>
      <c r="D54" s="533"/>
      <c r="E54" s="533"/>
      <c r="F54" s="533"/>
      <c r="G54" s="533"/>
      <c r="H54" s="533"/>
      <c r="I54" s="827">
        <f>+H10</f>
        <v>5347340.2872918248</v>
      </c>
      <c r="J54" s="533"/>
      <c r="K54" s="533"/>
    </row>
    <row r="55" spans="1:11" ht="15.75">
      <c r="A55" s="793" t="s">
        <v>568</v>
      </c>
      <c r="B55" s="533"/>
      <c r="C55" s="533"/>
      <c r="D55" s="533"/>
      <c r="E55" s="533"/>
      <c r="F55" s="533"/>
      <c r="G55" s="533"/>
      <c r="H55" s="533"/>
      <c r="I55" s="826">
        <f>(I53+I54)</f>
        <v>-913772.86363330763</v>
      </c>
      <c r="J55" s="533"/>
      <c r="K55" s="533"/>
    </row>
    <row r="56" spans="1:11">
      <c r="A56" s="427"/>
      <c r="B56" s="427"/>
      <c r="C56" s="427"/>
      <c r="D56" s="427"/>
      <c r="E56" s="427"/>
      <c r="F56" s="427"/>
      <c r="G56" s="427"/>
      <c r="H56" s="427"/>
      <c r="I56" s="427"/>
      <c r="J56" s="427"/>
      <c r="K56" s="427"/>
    </row>
    <row r="57" spans="1:11" ht="60.6" customHeight="1">
      <c r="A57" s="1660" t="s">
        <v>572</v>
      </c>
      <c r="B57" s="1660"/>
      <c r="C57" s="1660"/>
      <c r="D57" s="1660"/>
      <c r="E57" s="828"/>
      <c r="F57" s="828"/>
      <c r="G57" s="828"/>
      <c r="H57" s="828"/>
      <c r="I57" s="828"/>
      <c r="J57" s="828"/>
      <c r="K57" s="828"/>
    </row>
  </sheetData>
  <mergeCells count="5">
    <mergeCell ref="A1:K1"/>
    <mergeCell ref="A2:K2"/>
    <mergeCell ref="A3:K3"/>
    <mergeCell ref="D4:G4"/>
    <mergeCell ref="A57:D57"/>
  </mergeCells>
  <pageMargins left="0.7" right="0.7" top="0.75" bottom="0.75" header="0.3" footer="0.3"/>
  <pageSetup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223"/>
  <sheetViews>
    <sheetView topLeftCell="A13" zoomScale="75" zoomScaleNormal="100" zoomScaleSheetLayoutView="100" workbookViewId="0">
      <selection activeCell="E35" sqref="E35"/>
    </sheetView>
  </sheetViews>
  <sheetFormatPr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7109375" style="32" customWidth="1"/>
    <col min="11" max="11" width="18" style="32" bestFit="1" customWidth="1"/>
    <col min="12" max="12" width="20.42578125" style="32" customWidth="1"/>
    <col min="13" max="15" width="9.140625" style="32"/>
    <col min="16" max="16" width="10" style="32" bestFit="1" customWidth="1"/>
    <col min="17" max="17" width="17.7109375" style="32" customWidth="1"/>
    <col min="18" max="18" width="15.5703125" style="32" bestFit="1" customWidth="1"/>
    <col min="19" max="16384" width="9.140625" style="32"/>
  </cols>
  <sheetData>
    <row r="1" spans="1:15" ht="15.75">
      <c r="A1" s="886" t="s">
        <v>115</v>
      </c>
    </row>
    <row r="2" spans="1:15" ht="15.75">
      <c r="A2" s="886" t="s">
        <v>115</v>
      </c>
    </row>
    <row r="3" spans="1:15" ht="15">
      <c r="A3" s="1547" t="s">
        <v>388</v>
      </c>
      <c r="B3" s="1547"/>
      <c r="C3" s="1547"/>
      <c r="D3" s="1547"/>
      <c r="E3" s="1547"/>
      <c r="F3" s="1547"/>
      <c r="G3" s="1547"/>
      <c r="H3" s="1547"/>
      <c r="I3" s="1547"/>
      <c r="J3" s="40"/>
      <c r="K3" s="40"/>
    </row>
    <row r="4" spans="1:15" ht="15">
      <c r="A4" s="1548" t="str">
        <f>"Cost of Service Formula Rate Using Actual/Projected FF1 Balances"</f>
        <v>Cost of Service Formula Rate Using Actual/Projected FF1 Balances</v>
      </c>
      <c r="B4" s="1548"/>
      <c r="C4" s="1548"/>
      <c r="D4" s="1548"/>
      <c r="E4" s="1548"/>
      <c r="F4" s="1548"/>
      <c r="G4" s="1548"/>
      <c r="H4" s="1548"/>
      <c r="I4" s="1548"/>
      <c r="J4" s="97"/>
      <c r="K4" s="97"/>
    </row>
    <row r="5" spans="1:15" ht="15">
      <c r="A5" s="1548" t="s">
        <v>472</v>
      </c>
      <c r="B5" s="1548"/>
      <c r="C5" s="1548"/>
      <c r="D5" s="1548"/>
      <c r="E5" s="1548"/>
      <c r="F5" s="1548"/>
      <c r="G5" s="1548"/>
      <c r="H5" s="1548"/>
      <c r="I5" s="1548"/>
      <c r="J5" s="96"/>
      <c r="K5" s="96"/>
    </row>
    <row r="6" spans="1:15" ht="15">
      <c r="A6" s="1559" t="str">
        <f>TCOS!F9</f>
        <v xml:space="preserve">Indiana Michigan Power Company </v>
      </c>
      <c r="B6" s="1559"/>
      <c r="C6" s="1559"/>
      <c r="D6" s="1559"/>
      <c r="E6" s="1559"/>
      <c r="F6" s="1559"/>
      <c r="G6" s="1559"/>
      <c r="H6" s="1559"/>
      <c r="I6" s="1559"/>
      <c r="J6" s="4"/>
      <c r="K6" s="4"/>
      <c r="L6"/>
      <c r="M6"/>
    </row>
    <row r="7" spans="1:15">
      <c r="C7" s="34"/>
      <c r="D7" s="34"/>
    </row>
    <row r="8" spans="1:15">
      <c r="C8" s="8" t="s">
        <v>163</v>
      </c>
      <c r="D8" s="8" t="s">
        <v>164</v>
      </c>
      <c r="E8" s="8" t="s">
        <v>165</v>
      </c>
      <c r="G8" s="8" t="s">
        <v>166</v>
      </c>
      <c r="I8" s="8" t="s">
        <v>85</v>
      </c>
      <c r="J8" s="8"/>
      <c r="K8" s="8"/>
      <c r="L8" s="8"/>
      <c r="M8"/>
      <c r="N8"/>
      <c r="O8"/>
    </row>
    <row r="9" spans="1:15">
      <c r="A9" s="95"/>
      <c r="I9" s="14"/>
      <c r="J9"/>
      <c r="K9"/>
      <c r="L9"/>
      <c r="M9"/>
      <c r="N9"/>
      <c r="O9"/>
    </row>
    <row r="10" spans="1:15" ht="12.75" customHeight="1">
      <c r="A10" s="12" t="s">
        <v>170</v>
      </c>
      <c r="C10" s="35"/>
      <c r="D10" s="35"/>
      <c r="E10" s="1557" t="str">
        <f>"Balance @ December 31, "&amp;TCOS!L4&amp;""</f>
        <v>Balance @ December 31, 2025</v>
      </c>
      <c r="F10" s="144"/>
      <c r="G10" s="1557" t="str">
        <f>"Balance @ December 31, "&amp;TCOS!L4-1&amp;""</f>
        <v>Balance @ December 31, 2024</v>
      </c>
      <c r="H10" s="144"/>
      <c r="I10" s="1560" t="str">
        <f>"Average Balance for "&amp;TCOS!L4&amp;""</f>
        <v>Average Balance for 2025</v>
      </c>
      <c r="J10"/>
      <c r="K10"/>
      <c r="L10"/>
      <c r="M10"/>
      <c r="N10"/>
      <c r="O10"/>
    </row>
    <row r="11" spans="1:15">
      <c r="A11" s="12" t="s">
        <v>107</v>
      </c>
      <c r="B11" s="11"/>
      <c r="C11" s="12" t="s">
        <v>168</v>
      </c>
      <c r="D11" s="12" t="s">
        <v>207</v>
      </c>
      <c r="E11" s="1558"/>
      <c r="F11" s="87"/>
      <c r="G11" s="1558"/>
      <c r="H11" s="245"/>
      <c r="I11" s="1558"/>
      <c r="J11"/>
      <c r="K11"/>
      <c r="L11"/>
      <c r="M11"/>
      <c r="N11"/>
      <c r="O11"/>
    </row>
    <row r="12" spans="1:15">
      <c r="A12" s="95"/>
      <c r="C12" s="34"/>
      <c r="D12" s="34"/>
      <c r="G12" s="257"/>
      <c r="J12" s="26"/>
      <c r="K12" s="26"/>
    </row>
    <row r="13" spans="1:15">
      <c r="A13" s="95"/>
      <c r="C13" s="34"/>
      <c r="D13" s="34"/>
      <c r="J13" s="26"/>
      <c r="K13" s="26"/>
    </row>
    <row r="14" spans="1:15">
      <c r="A14" s="95"/>
      <c r="C14" s="34"/>
      <c r="D14" s="34"/>
      <c r="J14" s="26"/>
      <c r="K14" s="26"/>
    </row>
    <row r="15" spans="1:15" ht="15.75">
      <c r="A15" s="95">
        <v>1</v>
      </c>
      <c r="C15" s="59" t="s">
        <v>510</v>
      </c>
      <c r="D15" s="59"/>
      <c r="J15" s="26"/>
      <c r="K15" s="26"/>
    </row>
    <row r="16" spans="1:15" ht="15.75">
      <c r="A16" s="95"/>
      <c r="C16" s="59"/>
      <c r="D16" s="59"/>
      <c r="H16"/>
      <c r="J16" s="26"/>
      <c r="K16" s="26"/>
    </row>
    <row r="17" spans="1:17">
      <c r="A17" s="95">
        <f>+A15+1</f>
        <v>2</v>
      </c>
      <c r="C17" s="61" t="s">
        <v>516</v>
      </c>
      <c r="D17" s="86" t="s">
        <v>518</v>
      </c>
      <c r="E17" s="839">
        <v>15802136.535378594</v>
      </c>
      <c r="G17" s="839">
        <v>15598823.83406559</v>
      </c>
      <c r="H17"/>
      <c r="I17" s="140">
        <f>IF(G17="",0,(E17+G17)/2)</f>
        <v>15700480.184722092</v>
      </c>
      <c r="J17" s="26"/>
      <c r="K17" s="26"/>
    </row>
    <row r="18" spans="1:17">
      <c r="A18" s="95">
        <f>+A17+1</f>
        <v>3</v>
      </c>
      <c r="C18" s="61" t="s">
        <v>520</v>
      </c>
      <c r="D18" s="316" t="str">
        <f>"WS B-1 - Actual Stmt. AF Ln. " &amp;'WS B-1 - Actual Stmt. AF'!A24&amp;" (Note 1)"</f>
        <v>WS B-1 - Actual Stmt. AF Ln. 4 (Note 1)</v>
      </c>
      <c r="E18" s="839">
        <v>0</v>
      </c>
      <c r="G18" s="839">
        <v>0</v>
      </c>
      <c r="H18"/>
      <c r="I18" s="140">
        <f>IF(G18="",0,(E18+G18)/2)</f>
        <v>0</v>
      </c>
      <c r="J18" s="26"/>
      <c r="K18" s="26"/>
    </row>
    <row r="19" spans="1:17" ht="15">
      <c r="A19" s="95">
        <f>+A18+1</f>
        <v>4</v>
      </c>
      <c r="C19" s="61" t="s">
        <v>521</v>
      </c>
      <c r="D19" s="316" t="str">
        <f>"WS B-1 - Actual Stmt. AF Ln. " &amp;'WS B-1 - Actual Stmt. AF'!A23&amp;" (Note 1)"</f>
        <v>WS B-1 - Actual Stmt. AF Ln. 3 (Note 1)</v>
      </c>
      <c r="E19" s="884">
        <v>15802136.535378594</v>
      </c>
      <c r="G19" s="884">
        <v>15598823.83406559</v>
      </c>
      <c r="I19" s="224">
        <f>IF(G19="",0,(E19+G19)/2)</f>
        <v>15700480.184722092</v>
      </c>
      <c r="J19" s="26"/>
      <c r="K19" s="26"/>
    </row>
    <row r="20" spans="1:17">
      <c r="A20" s="95">
        <f>+A19+1</f>
        <v>5</v>
      </c>
      <c r="C20" s="61" t="s">
        <v>517</v>
      </c>
      <c r="D20" s="145" t="str">
        <f>"Ln "&amp;A17&amp;" - ln "&amp;A18&amp;" - ln "&amp;A19&amp;""</f>
        <v>Ln 2 - ln 3 - ln 4</v>
      </c>
      <c r="E20" s="27">
        <f>+E17-E18-E19</f>
        <v>0</v>
      </c>
      <c r="G20" s="27">
        <f>+G17-G18-G19</f>
        <v>0</v>
      </c>
      <c r="I20" s="140">
        <f>+I17-I18-I19</f>
        <v>0</v>
      </c>
      <c r="J20" s="26"/>
      <c r="K20" s="26"/>
    </row>
    <row r="21" spans="1:17">
      <c r="A21" s="95"/>
      <c r="C21" s="61"/>
      <c r="D21" s="145"/>
      <c r="J21" s="26"/>
      <c r="K21" s="26"/>
    </row>
    <row r="22" spans="1:17">
      <c r="A22" s="95"/>
      <c r="C22" s="61"/>
      <c r="D22" s="145"/>
      <c r="J22" s="26"/>
      <c r="K22" s="27"/>
      <c r="L22" s="27"/>
      <c r="M22" s="27"/>
      <c r="N22" s="27"/>
      <c r="O22" s="27"/>
    </row>
    <row r="23" spans="1:17" ht="15.75">
      <c r="A23" s="95">
        <f>+A20+1</f>
        <v>6</v>
      </c>
      <c r="C23" s="59" t="s">
        <v>511</v>
      </c>
      <c r="D23" s="145"/>
      <c r="J23" s="26"/>
      <c r="K23" s="27"/>
      <c r="L23" s="27"/>
      <c r="M23" s="27"/>
      <c r="N23" s="27"/>
      <c r="O23" s="27"/>
    </row>
    <row r="24" spans="1:17">
      <c r="A24" s="95"/>
      <c r="C24" s="61"/>
      <c r="D24" s="145"/>
      <c r="J24" s="26"/>
      <c r="K24" s="27"/>
      <c r="L24" s="27"/>
      <c r="M24" s="27"/>
      <c r="N24" s="27"/>
      <c r="O24" s="27"/>
    </row>
    <row r="25" spans="1:17">
      <c r="A25" s="95">
        <f>+A23+1</f>
        <v>7</v>
      </c>
      <c r="C25" s="61" t="s">
        <v>516</v>
      </c>
      <c r="D25" s="86" t="s">
        <v>450</v>
      </c>
      <c r="E25" s="839">
        <v>1167429899.3842156</v>
      </c>
      <c r="G25" s="839">
        <v>1152409568.057121</v>
      </c>
      <c r="H25"/>
      <c r="I25" s="140">
        <f>IF(G25="",0,(E25+G25)/2)</f>
        <v>1159919733.7206683</v>
      </c>
      <c r="J25" s="26"/>
      <c r="K25" s="27"/>
      <c r="L25" s="27"/>
      <c r="M25" s="27"/>
      <c r="N25" s="27"/>
      <c r="O25" s="27"/>
    </row>
    <row r="26" spans="1:17">
      <c r="A26" s="95">
        <f>+A25+1</f>
        <v>8</v>
      </c>
      <c r="C26" s="61" t="s">
        <v>520</v>
      </c>
      <c r="D26" s="316" t="str">
        <f>"WS B-1 - Actual Stmt. AF Ln. " &amp;'WS B-1 - Actual Stmt. AF'!A72&amp;" (Note 1)"</f>
        <v>WS B-1 - Actual Stmt. AF Ln. 7 (Note 1)</v>
      </c>
      <c r="E26" s="839">
        <v>69018746.75</v>
      </c>
      <c r="G26" s="839">
        <v>69018746.75</v>
      </c>
      <c r="H26"/>
      <c r="I26" s="140">
        <f>IF(G26="",0,(E26+G26)/2)</f>
        <v>69018746.75</v>
      </c>
      <c r="J26" s="26"/>
      <c r="K26" s="27"/>
      <c r="L26" s="27"/>
      <c r="M26" s="27"/>
      <c r="N26" s="27"/>
      <c r="O26" s="27"/>
    </row>
    <row r="27" spans="1:17" ht="15">
      <c r="A27" s="95">
        <f>+A26+1</f>
        <v>9</v>
      </c>
      <c r="C27" s="61" t="s">
        <v>521</v>
      </c>
      <c r="D27" s="316" t="str">
        <f>"WS B-1 - Actual Stmt. AF Ln. " &amp;'WS B-1 - Actual Stmt. AF'!A71&amp;" (Note 1)"</f>
        <v>WS B-1 - Actual Stmt. AF Ln. 6 (Note 1)</v>
      </c>
      <c r="E27" s="884">
        <v>852424590.51451671</v>
      </c>
      <c r="G27" s="884">
        <v>839199717.38646817</v>
      </c>
      <c r="I27" s="224">
        <f>IF(G27="",0,(E27+G27)/2)</f>
        <v>845812153.95049238</v>
      </c>
      <c r="J27" s="26"/>
      <c r="K27" s="27"/>
      <c r="L27" s="27"/>
      <c r="M27" s="27"/>
      <c r="N27" s="27"/>
      <c r="O27" s="27"/>
    </row>
    <row r="28" spans="1:17">
      <c r="A28" s="95">
        <f>+A27+1</f>
        <v>10</v>
      </c>
      <c r="C28" s="61" t="s">
        <v>517</v>
      </c>
      <c r="D28" s="145" t="str">
        <f>"Ln "&amp;A25&amp;" - ln "&amp;A26&amp;" - ln "&amp;A27&amp;""</f>
        <v>Ln 7 - ln 8 - ln 9</v>
      </c>
      <c r="E28" s="27">
        <f>+E25-E26-E27</f>
        <v>245986562.11969888</v>
      </c>
      <c r="G28" s="27">
        <f>+G25-G26-G27</f>
        <v>244191103.92065287</v>
      </c>
      <c r="I28" s="140">
        <f>+I25-I26-I27</f>
        <v>245088833.02017593</v>
      </c>
      <c r="J28" s="26"/>
      <c r="K28" s="27"/>
      <c r="L28" s="27"/>
      <c r="M28" s="27"/>
      <c r="N28" s="27"/>
      <c r="O28" s="27"/>
    </row>
    <row r="29" spans="1:17">
      <c r="A29" s="95"/>
      <c r="C29" s="61"/>
      <c r="D29" s="145"/>
      <c r="J29" s="26"/>
      <c r="K29" s="27"/>
      <c r="L29" s="27"/>
      <c r="M29" s="27"/>
      <c r="N29" s="27"/>
      <c r="O29" s="27"/>
      <c r="P29" s="27"/>
      <c r="Q29" s="27"/>
    </row>
    <row r="30" spans="1:17">
      <c r="A30" s="95"/>
      <c r="C30" s="61"/>
      <c r="D30" s="145"/>
      <c r="E30" s="142"/>
      <c r="G30" s="142"/>
      <c r="J30" s="26"/>
      <c r="K30" s="27"/>
      <c r="L30" s="27"/>
      <c r="M30" s="27"/>
      <c r="N30" s="27"/>
      <c r="O30" s="27"/>
      <c r="P30" s="27"/>
      <c r="Q30" s="27"/>
    </row>
    <row r="31" spans="1:17" ht="15.75">
      <c r="A31" s="95">
        <f>+A28+1</f>
        <v>11</v>
      </c>
      <c r="C31" s="59" t="s">
        <v>512</v>
      </c>
      <c r="D31" s="145"/>
      <c r="J31" s="26"/>
      <c r="K31" s="27"/>
      <c r="L31" s="27"/>
      <c r="M31" s="27"/>
      <c r="N31" s="27"/>
      <c r="O31" s="27"/>
      <c r="P31" s="27"/>
      <c r="Q31" s="27"/>
    </row>
    <row r="32" spans="1:17" ht="15.75">
      <c r="A32" s="95"/>
      <c r="C32" s="59"/>
      <c r="D32" s="145"/>
      <c r="J32" s="26"/>
      <c r="K32" s="27"/>
      <c r="L32" s="27"/>
      <c r="M32" s="27"/>
      <c r="N32" s="27"/>
      <c r="O32" s="27"/>
      <c r="P32" s="27"/>
      <c r="Q32" s="27"/>
    </row>
    <row r="33" spans="1:17">
      <c r="A33" s="95">
        <f>+A31+1</f>
        <v>12</v>
      </c>
      <c r="C33" s="61" t="s">
        <v>516</v>
      </c>
      <c r="D33" s="86" t="s">
        <v>519</v>
      </c>
      <c r="E33" s="839">
        <v>903866668.4837954</v>
      </c>
      <c r="G33" s="839">
        <v>892237179.78054321</v>
      </c>
      <c r="H33"/>
      <c r="I33" s="140">
        <f>IF(G33="",0,(E33+G33)/2)</f>
        <v>898051924.13216925</v>
      </c>
      <c r="J33" s="26"/>
      <c r="K33" s="27"/>
      <c r="L33" s="27"/>
      <c r="M33" s="27"/>
      <c r="N33" s="27"/>
      <c r="O33" s="27"/>
      <c r="P33" s="27"/>
      <c r="Q33" s="27"/>
    </row>
    <row r="34" spans="1:17">
      <c r="A34" s="95">
        <f>+A33+1</f>
        <v>13</v>
      </c>
      <c r="C34" s="61" t="s">
        <v>520</v>
      </c>
      <c r="D34" s="316" t="str">
        <f>"WS B-1 - Actual Stmt. AF Ln. " &amp;'WS B-1 - Actual Stmt. AF'!A184&amp;" (Note 1)"</f>
        <v>WS B-1 - Actual Stmt. AF Ln. 13 (Note 1)</v>
      </c>
      <c r="E34" s="839">
        <v>731929156.37</v>
      </c>
      <c r="G34" s="839">
        <v>731929156.37</v>
      </c>
      <c r="H34"/>
      <c r="I34" s="140">
        <f>IF(G34="",0,(E34+G34)/2)</f>
        <v>731929156.37</v>
      </c>
      <c r="J34" s="26"/>
      <c r="K34" s="1057"/>
      <c r="L34" s="1057"/>
      <c r="M34" s="1057"/>
      <c r="N34" s="1057"/>
      <c r="O34" s="1057"/>
    </row>
    <row r="35" spans="1:17" ht="15">
      <c r="A35" s="95">
        <f>+A34+1</f>
        <v>14</v>
      </c>
      <c r="C35" s="61" t="s">
        <v>521</v>
      </c>
      <c r="D35" s="316" t="str">
        <f>"WS B-1 - Actual Stmt. AF Ln. " &amp;'WS B-1 - Actual Stmt. AF'!A183&amp;" (Note 1)"</f>
        <v>WS B-1 - Actual Stmt. AF Ln. 12 (Note 1)</v>
      </c>
      <c r="E35" s="884">
        <v>175305722.20232597</v>
      </c>
      <c r="G35" s="884">
        <v>163632897.59382096</v>
      </c>
      <c r="I35" s="224">
        <f>IF(G35="",0,(E35+G35)/2)</f>
        <v>169469309.89807346</v>
      </c>
      <c r="J35" s="26"/>
      <c r="K35" s="26"/>
    </row>
    <row r="36" spans="1:17">
      <c r="A36" s="95">
        <f>+A35+1</f>
        <v>15</v>
      </c>
      <c r="C36" s="61" t="s">
        <v>517</v>
      </c>
      <c r="D36" s="145" t="str">
        <f>"Ln "&amp;A33&amp;" - ln "&amp;A34&amp;" - ln "&amp;A35&amp;""</f>
        <v>Ln 12 - ln 13 - ln 14</v>
      </c>
      <c r="E36" s="27">
        <f>+E33-E34-E35</f>
        <v>-3368210.0885305703</v>
      </c>
      <c r="G36" s="27">
        <f>+G33-G34-G35</f>
        <v>-3324874.183277756</v>
      </c>
      <c r="I36" s="140">
        <f>+I33-I34-I35</f>
        <v>-3346542.1359042227</v>
      </c>
      <c r="J36" s="26"/>
      <c r="K36" s="26"/>
    </row>
    <row r="37" spans="1:17" ht="15.75">
      <c r="A37" s="95"/>
      <c r="C37" s="59"/>
      <c r="D37" s="145"/>
      <c r="J37" s="26"/>
      <c r="K37" s="27"/>
      <c r="L37" s="27"/>
      <c r="M37" s="27"/>
      <c r="N37" s="27"/>
      <c r="O37" s="27"/>
      <c r="P37" s="27"/>
    </row>
    <row r="38" spans="1:17">
      <c r="A38" s="95"/>
      <c r="C38" s="61"/>
      <c r="D38" s="145"/>
      <c r="J38" s="26"/>
      <c r="K38" s="27"/>
      <c r="L38" s="27"/>
      <c r="M38" s="27"/>
      <c r="N38" s="27"/>
      <c r="O38" s="27"/>
      <c r="P38" s="27"/>
    </row>
    <row r="39" spans="1:17" ht="15.75">
      <c r="A39" s="95">
        <f>+A36+1</f>
        <v>16</v>
      </c>
      <c r="C39" s="59" t="s">
        <v>513</v>
      </c>
      <c r="D39" s="145"/>
      <c r="J39" s="26"/>
      <c r="K39" s="27"/>
      <c r="L39" s="27"/>
      <c r="M39" s="27"/>
      <c r="N39" s="27"/>
      <c r="O39" s="27"/>
      <c r="P39" s="27"/>
    </row>
    <row r="40" spans="1:17">
      <c r="A40" s="95"/>
      <c r="C40" s="61"/>
      <c r="D40" s="145"/>
      <c r="J40" s="26"/>
      <c r="K40" s="27"/>
      <c r="L40" s="27"/>
      <c r="M40" s="27"/>
      <c r="N40" s="27"/>
      <c r="O40" s="27"/>
      <c r="P40" s="27"/>
    </row>
    <row r="41" spans="1:17">
      <c r="A41" s="95">
        <f>+A39+1</f>
        <v>17</v>
      </c>
      <c r="C41" s="61" t="s">
        <v>516</v>
      </c>
      <c r="D41" s="86" t="s">
        <v>515</v>
      </c>
      <c r="E41" s="839">
        <v>926535753.13864994</v>
      </c>
      <c r="G41" s="839">
        <v>934310293.73864985</v>
      </c>
      <c r="H41"/>
      <c r="I41" s="140">
        <f>IF(G41="",0,(E41+G41)/2)</f>
        <v>930423023.43864989</v>
      </c>
      <c r="J41" s="26"/>
      <c r="K41" s="27"/>
      <c r="L41" s="27"/>
      <c r="M41" s="27"/>
      <c r="N41" s="27"/>
      <c r="O41" s="27"/>
    </row>
    <row r="42" spans="1:17">
      <c r="A42" s="95">
        <f>+A41+1</f>
        <v>18</v>
      </c>
      <c r="C42" s="61" t="s">
        <v>520</v>
      </c>
      <c r="D42" s="316" t="str">
        <f>"WS B-2 - Actual Stmt. AG Ln. " &amp;'WS B-2 - Actual Stmt. AG'!A110&amp;" (Note 1)"</f>
        <v>WS B-2 - Actual Stmt. AG Ln. 4 (Note 1)</v>
      </c>
      <c r="E42" s="839">
        <v>803848270.29999995</v>
      </c>
      <c r="G42" s="839">
        <v>803848270.29999995</v>
      </c>
      <c r="H42"/>
      <c r="I42" s="140">
        <f>IF(G42="",0,(E42+G42)/2)</f>
        <v>803848270.29999995</v>
      </c>
      <c r="J42" s="26"/>
      <c r="K42" s="27"/>
      <c r="L42" s="27"/>
      <c r="M42" s="27"/>
      <c r="N42" s="27"/>
      <c r="O42" s="27"/>
    </row>
    <row r="43" spans="1:17" ht="15">
      <c r="A43" s="95">
        <f>+A42+1</f>
        <v>19</v>
      </c>
      <c r="C43" s="61" t="s">
        <v>521</v>
      </c>
      <c r="D43" s="316" t="str">
        <f>"WS B-2 - Actual Stmt. AG Ln. " &amp;'WS B-2 - Actual Stmt. AG'!A109&amp;" (Note 1)"</f>
        <v>WS B-2 - Actual Stmt. AG Ln. 3 (Note 1)</v>
      </c>
      <c r="E43" s="884">
        <v>119584308.5368548</v>
      </c>
      <c r="G43" s="884">
        <v>127332810.23589431</v>
      </c>
      <c r="I43" s="224">
        <f>IF(G43="",0,(E43+G43)/2)</f>
        <v>123458559.38637456</v>
      </c>
      <c r="J43" s="26"/>
      <c r="K43" s="27"/>
      <c r="L43" s="27"/>
      <c r="M43" s="27"/>
      <c r="N43" s="27"/>
      <c r="O43" s="27"/>
    </row>
    <row r="44" spans="1:17">
      <c r="A44" s="95">
        <f>+A43+1</f>
        <v>20</v>
      </c>
      <c r="C44" s="61" t="s">
        <v>517</v>
      </c>
      <c r="D44" s="145" t="str">
        <f>"Ln "&amp;A41&amp;" - ln "&amp;A42&amp;" - ln "&amp;A43&amp;""</f>
        <v>Ln 17 - ln 18 - ln 19</v>
      </c>
      <c r="E44" s="27">
        <f>+E41-E42-E43+1000</f>
        <v>3104174.3017951846</v>
      </c>
      <c r="G44" s="27">
        <f>+G41-G42-G43+1000</f>
        <v>3130213.2027555853</v>
      </c>
      <c r="I44" s="140">
        <f>+I41-I42-I43</f>
        <v>3116193.7522753775</v>
      </c>
      <c r="J44" s="26"/>
      <c r="K44" s="26"/>
    </row>
    <row r="45" spans="1:17">
      <c r="A45" s="95"/>
      <c r="C45" s="61"/>
      <c r="D45" s="145"/>
      <c r="J45" s="26"/>
      <c r="K45" s="26"/>
    </row>
    <row r="46" spans="1:17">
      <c r="A46" s="95"/>
      <c r="C46" s="61"/>
      <c r="D46" s="145"/>
      <c r="J46" s="26"/>
      <c r="K46" s="26"/>
    </row>
    <row r="47" spans="1:17" ht="15.75">
      <c r="A47" s="95">
        <f>+A44+1</f>
        <v>21</v>
      </c>
      <c r="C47" s="59" t="s">
        <v>514</v>
      </c>
      <c r="D47" s="145"/>
      <c r="J47" s="26"/>
      <c r="K47" s="26"/>
    </row>
    <row r="48" spans="1:17">
      <c r="A48" s="95"/>
      <c r="C48" s="61"/>
      <c r="D48" s="145"/>
      <c r="J48" s="26"/>
      <c r="K48" s="27"/>
      <c r="L48" s="27"/>
      <c r="M48" s="27"/>
      <c r="N48" s="27"/>
      <c r="O48" s="27"/>
    </row>
    <row r="49" spans="1:15">
      <c r="A49" s="95">
        <f>+A47+1</f>
        <v>22</v>
      </c>
      <c r="C49" s="61" t="s">
        <v>522</v>
      </c>
      <c r="D49" s="86" t="s">
        <v>471</v>
      </c>
      <c r="E49" s="839">
        <v>12921045.699999901</v>
      </c>
      <c r="G49" s="839">
        <v>14398245.699999899</v>
      </c>
      <c r="H49"/>
      <c r="I49" s="140">
        <f>IF(G49="",0,(E49+G49)/2)</f>
        <v>13659645.699999899</v>
      </c>
      <c r="J49" s="26"/>
      <c r="K49" s="27"/>
      <c r="L49" s="27"/>
      <c r="M49" s="27"/>
      <c r="N49" s="27"/>
      <c r="O49" s="27"/>
    </row>
    <row r="50" spans="1:15" ht="15">
      <c r="A50" s="95">
        <f>+A49+1</f>
        <v>23</v>
      </c>
      <c r="C50" s="61" t="s">
        <v>523</v>
      </c>
      <c r="D50" s="316" t="s">
        <v>68</v>
      </c>
      <c r="E50" s="884">
        <v>12921045.699999901</v>
      </c>
      <c r="G50" s="884">
        <v>14398245.699999899</v>
      </c>
      <c r="H50"/>
      <c r="I50" s="224">
        <f>IF(G50="",0,(E50+G50)/2)</f>
        <v>13659645.699999899</v>
      </c>
      <c r="J50" s="26"/>
      <c r="K50" s="27"/>
      <c r="L50" s="27"/>
      <c r="M50" s="27"/>
      <c r="N50" s="27"/>
      <c r="O50" s="27"/>
    </row>
    <row r="51" spans="1:15">
      <c r="A51" s="95">
        <f>+A50+1</f>
        <v>24</v>
      </c>
      <c r="C51" s="61" t="s">
        <v>389</v>
      </c>
      <c r="D51" s="145" t="str">
        <f>"Ln "&amp;A49&amp;" - ln "&amp;A50&amp;""</f>
        <v>Ln 22 - ln 23</v>
      </c>
      <c r="E51" s="1251">
        <f>+E49-E50</f>
        <v>0</v>
      </c>
      <c r="F51" s="1250"/>
      <c r="G51" s="1251">
        <f>+G49-G50</f>
        <v>0</v>
      </c>
      <c r="H51"/>
      <c r="I51" s="140">
        <f>+I49-I50</f>
        <v>0</v>
      </c>
      <c r="J51" s="26"/>
      <c r="K51" s="27"/>
      <c r="L51" s="27"/>
      <c r="M51" s="27"/>
      <c r="N51" s="27"/>
      <c r="O51" s="27"/>
    </row>
    <row r="52" spans="1:15">
      <c r="A52" s="95">
        <f>+A51+1</f>
        <v>25</v>
      </c>
      <c r="C52" s="61" t="s">
        <v>517</v>
      </c>
      <c r="D52" s="316" t="str">
        <f>"WS B-1 - Actual Stmt. AF Ln. " &amp;'WS B-1 - Actual Stmt. AF'!A197&amp;" (Note 1)"</f>
        <v>WS B-1 - Actual Stmt. AF Ln. 20 (Note 1)</v>
      </c>
      <c r="E52" s="839">
        <v>1100941</v>
      </c>
      <c r="G52" s="839">
        <v>1100941</v>
      </c>
      <c r="H52"/>
      <c r="I52" s="140">
        <f>IF(G52="",0,(E52+G52)/2)</f>
        <v>1100941</v>
      </c>
      <c r="J52" s="26"/>
      <c r="K52" s="27"/>
      <c r="L52" s="27"/>
      <c r="M52" s="27"/>
      <c r="N52" s="27"/>
      <c r="O52" s="27"/>
    </row>
    <row r="53" spans="1:15">
      <c r="A53" s="95"/>
      <c r="C53" s="61"/>
      <c r="D53" s="61"/>
      <c r="J53" s="26"/>
      <c r="K53" s="27"/>
      <c r="L53" s="27"/>
      <c r="M53" s="27"/>
      <c r="N53" s="27"/>
      <c r="O53" s="27"/>
    </row>
    <row r="54" spans="1:15">
      <c r="A54" s="84" t="s">
        <v>69</v>
      </c>
      <c r="C54" s="1556" t="s">
        <v>808</v>
      </c>
      <c r="D54" s="1556"/>
      <c r="E54" s="1556"/>
      <c r="F54" s="1556"/>
      <c r="G54" s="1556"/>
      <c r="H54" s="1556"/>
      <c r="I54" s="1556"/>
      <c r="J54" s="26"/>
      <c r="K54" s="26"/>
    </row>
    <row r="55" spans="1:15">
      <c r="A55" s="84"/>
      <c r="C55" s="1556"/>
      <c r="D55" s="1556"/>
      <c r="E55" s="1556"/>
      <c r="F55" s="1556"/>
      <c r="G55" s="1556"/>
      <c r="H55" s="1556"/>
      <c r="I55" s="1556"/>
      <c r="J55" s="26"/>
      <c r="K55" s="26"/>
    </row>
    <row r="56" spans="1:15">
      <c r="A56" s="95"/>
      <c r="C56" s="61"/>
      <c r="D56" s="61"/>
    </row>
    <row r="57" spans="1:15">
      <c r="A57" s="95" t="s">
        <v>70</v>
      </c>
      <c r="B57" s="36" t="s">
        <v>71</v>
      </c>
      <c r="C57" s="61"/>
      <c r="D57" s="61"/>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row>
    <row r="61" spans="1:15">
      <c r="B61" s="6"/>
      <c r="C61" s="6"/>
      <c r="D61" s="6"/>
      <c r="E61" s="6"/>
      <c r="F61" s="6"/>
      <c r="G61" s="6"/>
      <c r="H61" s="6"/>
      <c r="I61" s="6"/>
      <c r="J61" s="6"/>
      <c r="K61" s="6"/>
    </row>
    <row r="62" spans="1:15">
      <c r="B62" s="6"/>
      <c r="C62" s="6"/>
      <c r="D62" s="6"/>
      <c r="E62" s="6"/>
      <c r="F62" s="6"/>
      <c r="G62" s="6"/>
      <c r="H62" s="6"/>
      <c r="I62" s="6"/>
      <c r="J62" s="6"/>
      <c r="K62" s="6"/>
    </row>
    <row r="63" spans="1:15">
      <c r="B63" s="6"/>
      <c r="C63" s="6"/>
      <c r="D63" s="6"/>
      <c r="E63" s="6"/>
      <c r="F63" s="6"/>
      <c r="G63" s="6"/>
      <c r="H63" s="6"/>
      <c r="I63" s="6"/>
      <c r="J63" s="6"/>
      <c r="K63" s="6"/>
      <c r="L63" s="6"/>
    </row>
    <row r="64" spans="1:15">
      <c r="B64" s="6"/>
      <c r="C64" s="6"/>
      <c r="D64" s="6"/>
      <c r="E64" s="6"/>
      <c r="F64" s="6"/>
      <c r="G64" s="6"/>
      <c r="H64" s="6"/>
      <c r="I64" s="6"/>
      <c r="J64" s="6"/>
      <c r="K64" s="6"/>
      <c r="L64" s="6"/>
    </row>
    <row r="65" spans="2:12">
      <c r="B65" s="6"/>
      <c r="C65" s="6"/>
      <c r="D65" s="6"/>
      <c r="E65" s="6"/>
      <c r="F65" s="6"/>
      <c r="G65" s="6"/>
      <c r="H65" s="6"/>
      <c r="I65" s="6"/>
      <c r="J65" s="6"/>
      <c r="K65" s="6"/>
      <c r="L65" s="6"/>
    </row>
    <row r="66" spans="2:12">
      <c r="B66" s="6"/>
      <c r="C66" s="6"/>
      <c r="D66" s="6"/>
      <c r="E66" s="6"/>
      <c r="F66" s="6"/>
      <c r="G66" s="6"/>
      <c r="H66" s="6"/>
      <c r="I66" s="6"/>
      <c r="J66" s="6"/>
      <c r="K66" s="6"/>
      <c r="L66" s="6"/>
    </row>
    <row r="67" spans="2:12">
      <c r="B67" s="6"/>
      <c r="C67" s="6"/>
      <c r="D67" s="6"/>
      <c r="E67" s="6"/>
      <c r="F67" s="6"/>
      <c r="G67" s="6"/>
      <c r="H67" s="6"/>
      <c r="I67" s="6"/>
      <c r="J67" s="6"/>
      <c r="K67" s="6"/>
      <c r="L67" s="6"/>
    </row>
    <row r="68" spans="2:12">
      <c r="B68" s="6"/>
      <c r="C68" s="6"/>
      <c r="D68" s="6"/>
      <c r="E68" s="6"/>
      <c r="F68" s="6"/>
      <c r="G68" s="6"/>
      <c r="H68" s="6"/>
      <c r="I68" s="6"/>
      <c r="J68" s="6"/>
      <c r="K68" s="6"/>
      <c r="L68" s="6"/>
    </row>
    <row r="69" spans="2:12">
      <c r="B69" s="6"/>
      <c r="C69" s="6"/>
      <c r="D69" s="6"/>
      <c r="E69" s="6"/>
      <c r="F69" s="6"/>
      <c r="G69" s="6"/>
      <c r="H69" s="6"/>
      <c r="I69" s="6"/>
      <c r="J69" s="6"/>
      <c r="K69" s="6"/>
      <c r="L69" s="6"/>
    </row>
    <row r="70" spans="2:12">
      <c r="B70" s="6"/>
      <c r="C70" s="6"/>
      <c r="D70" s="6"/>
      <c r="E70" s="6"/>
      <c r="F70" s="6"/>
      <c r="G70" s="6"/>
      <c r="H70" s="6"/>
      <c r="I70" s="6"/>
      <c r="J70" s="6"/>
      <c r="K70" s="6"/>
      <c r="L70" s="6"/>
    </row>
    <row r="71" spans="2:12">
      <c r="B71" s="6"/>
      <c r="C71" s="6"/>
      <c r="D71" s="6"/>
      <c r="E71" s="6"/>
      <c r="F71" s="6"/>
      <c r="G71" s="6"/>
      <c r="H71" s="6"/>
      <c r="I71" s="6"/>
      <c r="J71" s="6"/>
      <c r="K71" s="6"/>
      <c r="L71" s="6"/>
    </row>
    <row r="72" spans="2:12">
      <c r="B72" s="6"/>
      <c r="C72" s="6"/>
      <c r="D72" s="6"/>
      <c r="E72" s="6"/>
      <c r="F72" s="6"/>
      <c r="G72" s="6"/>
      <c r="H72" s="6"/>
      <c r="I72" s="6"/>
      <c r="J72" s="6"/>
      <c r="K72" s="6"/>
      <c r="L72" s="6"/>
    </row>
    <row r="73" spans="2:12">
      <c r="B73" s="6"/>
      <c r="C73" s="6"/>
      <c r="D73" s="6"/>
      <c r="E73" s="6"/>
      <c r="F73" s="6"/>
      <c r="G73" s="6"/>
      <c r="H73" s="6"/>
      <c r="I73" s="6"/>
      <c r="J73" s="6"/>
      <c r="K73" s="6"/>
      <c r="L73" s="6"/>
    </row>
    <row r="74" spans="2:12">
      <c r="B74" s="6"/>
      <c r="C74" s="6"/>
      <c r="D74" s="6"/>
      <c r="E74" s="6"/>
      <c r="F74" s="6"/>
      <c r="G74" s="6"/>
      <c r="H74" s="6"/>
      <c r="I74" s="6"/>
      <c r="J74" s="6"/>
      <c r="K74" s="6"/>
      <c r="L74" s="6"/>
    </row>
    <row r="75" spans="2:12">
      <c r="B75" s="6"/>
      <c r="C75" s="6"/>
      <c r="D75" s="6"/>
      <c r="E75" s="6"/>
      <c r="F75" s="6"/>
      <c r="G75" s="6"/>
      <c r="H75" s="6"/>
      <c r="I75" s="6"/>
      <c r="J75" s="6"/>
      <c r="K75" s="6"/>
      <c r="L75" s="6"/>
    </row>
    <row r="76" spans="2:12">
      <c r="B76" s="6"/>
      <c r="C76" s="6"/>
      <c r="D76" s="6"/>
      <c r="E76" s="6"/>
      <c r="F76" s="6"/>
      <c r="G76" s="6"/>
      <c r="H76" s="6"/>
      <c r="I76" s="6"/>
      <c r="J76" s="6"/>
      <c r="K76" s="6"/>
      <c r="L76" s="6"/>
    </row>
    <row r="77" spans="2:12">
      <c r="B77" s="6"/>
      <c r="C77" s="6"/>
      <c r="D77" s="6"/>
      <c r="E77" s="6"/>
      <c r="F77" s="6"/>
      <c r="G77" s="6"/>
      <c r="H77" s="6"/>
      <c r="I77" s="6"/>
      <c r="J77" s="6"/>
      <c r="K77" s="6"/>
      <c r="L77" s="6"/>
    </row>
    <row r="78" spans="2:12">
      <c r="B78" s="6"/>
      <c r="C78" s="6"/>
      <c r="D78" s="6"/>
      <c r="E78" s="6"/>
      <c r="F78" s="6"/>
      <c r="G78" s="6"/>
      <c r="H78" s="6"/>
      <c r="I78" s="6"/>
      <c r="J78" s="6"/>
      <c r="K78" s="6"/>
      <c r="L78" s="6"/>
    </row>
    <row r="79" spans="2:12">
      <c r="B79" s="6"/>
      <c r="C79" s="6"/>
      <c r="D79" s="6"/>
      <c r="E79" s="6"/>
      <c r="F79" s="6"/>
      <c r="G79" s="6"/>
      <c r="H79" s="6"/>
      <c r="I79" s="6"/>
      <c r="J79" s="6"/>
      <c r="K79" s="6"/>
      <c r="L79" s="6"/>
    </row>
    <row r="80" spans="2:12">
      <c r="B80" s="6"/>
      <c r="C80" s="6"/>
      <c r="D80" s="6"/>
      <c r="E80" s="6"/>
      <c r="F80" s="6"/>
      <c r="G80" s="6"/>
      <c r="H80" s="6"/>
      <c r="I80" s="6"/>
      <c r="J80" s="6"/>
      <c r="K80" s="6"/>
      <c r="L80" s="6"/>
    </row>
    <row r="81" spans="2:12">
      <c r="B81" s="6"/>
      <c r="C81" s="6"/>
      <c r="D81" s="6"/>
      <c r="E81" s="6"/>
      <c r="F81" s="6"/>
      <c r="G81" s="6"/>
      <c r="H81" s="6"/>
      <c r="I81" s="6"/>
      <c r="J81" s="6"/>
      <c r="K81" s="6"/>
      <c r="L81" s="6"/>
    </row>
    <row r="82" spans="2:12">
      <c r="B82" s="6"/>
      <c r="C82" s="6"/>
      <c r="D82" s="6"/>
      <c r="E82" s="6"/>
      <c r="F82" s="6"/>
      <c r="G82" s="6"/>
      <c r="H82" s="6"/>
      <c r="I82" s="6"/>
      <c r="J82" s="6"/>
      <c r="K82" s="6"/>
      <c r="L82" s="6"/>
    </row>
    <row r="83" spans="2:12">
      <c r="B83" s="6"/>
      <c r="C83" s="6"/>
      <c r="D83" s="6"/>
      <c r="E83" s="6"/>
      <c r="F83" s="6"/>
      <c r="G83" s="6"/>
      <c r="H83" s="6"/>
      <c r="I83" s="6"/>
      <c r="J83" s="6"/>
      <c r="K83" s="6"/>
      <c r="L83" s="6"/>
    </row>
    <row r="84" spans="2:12">
      <c r="B84" s="6"/>
      <c r="C84" s="6"/>
      <c r="D84" s="6"/>
      <c r="E84" s="6"/>
      <c r="F84" s="6"/>
      <c r="G84" s="6"/>
      <c r="H84" s="6"/>
      <c r="I84" s="6"/>
      <c r="J84" s="6"/>
      <c r="K84" s="6"/>
      <c r="L84" s="6"/>
    </row>
    <row r="85" spans="2:12">
      <c r="B85" s="6"/>
      <c r="C85" s="6"/>
      <c r="D85" s="6"/>
      <c r="E85" s="6"/>
      <c r="F85" s="6"/>
      <c r="G85" s="6"/>
      <c r="H85" s="6"/>
      <c r="I85" s="6"/>
      <c r="J85" s="6"/>
      <c r="K85" s="6"/>
      <c r="L85" s="6"/>
    </row>
    <row r="86" spans="2:12">
      <c r="B86" s="6"/>
      <c r="C86" s="6"/>
      <c r="D86" s="6"/>
      <c r="E86" s="6"/>
      <c r="F86" s="6"/>
      <c r="G86" s="6"/>
      <c r="H86" s="6"/>
      <c r="I86" s="6"/>
      <c r="J86" s="6"/>
      <c r="K86" s="6"/>
      <c r="L86" s="6"/>
    </row>
    <row r="87" spans="2:12">
      <c r="B87" s="6"/>
      <c r="C87" s="6"/>
      <c r="D87" s="6"/>
      <c r="E87" s="6"/>
      <c r="F87" s="6"/>
      <c r="G87" s="6"/>
      <c r="H87" s="6"/>
      <c r="I87" s="6"/>
      <c r="J87" s="6"/>
      <c r="K87" s="6"/>
      <c r="L87" s="6"/>
    </row>
    <row r="88" spans="2:12">
      <c r="B88" s="6"/>
      <c r="C88" s="6"/>
      <c r="D88" s="6"/>
      <c r="E88" s="6"/>
      <c r="F88" s="6"/>
      <c r="G88" s="6"/>
      <c r="H88" s="6"/>
      <c r="I88" s="6"/>
      <c r="J88" s="6"/>
      <c r="K88" s="6"/>
      <c r="L88" s="6"/>
    </row>
    <row r="89" spans="2:12">
      <c r="B89" s="6"/>
      <c r="C89" s="6"/>
      <c r="D89" s="6"/>
      <c r="E89" s="6"/>
      <c r="F89" s="6"/>
      <c r="G89" s="6"/>
      <c r="H89" s="6"/>
      <c r="I89" s="6"/>
      <c r="J89" s="6"/>
      <c r="K89" s="6"/>
      <c r="L89" s="6"/>
    </row>
    <row r="90" spans="2:12">
      <c r="B90" s="6"/>
      <c r="C90" s="6"/>
      <c r="D90" s="6"/>
      <c r="E90" s="6"/>
      <c r="F90" s="6"/>
      <c r="G90" s="6"/>
      <c r="H90" s="6"/>
      <c r="I90" s="6"/>
      <c r="J90" s="6"/>
      <c r="K90" s="6"/>
      <c r="L90" s="6"/>
    </row>
    <row r="91" spans="2:12">
      <c r="B91" s="6"/>
      <c r="C91" s="6"/>
      <c r="D91" s="6"/>
      <c r="E91" s="6"/>
      <c r="F91" s="6"/>
      <c r="G91" s="6"/>
      <c r="H91" s="6"/>
      <c r="I91" s="6"/>
      <c r="J91" s="6"/>
      <c r="K91" s="6"/>
      <c r="L91" s="6"/>
    </row>
    <row r="92" spans="2:12">
      <c r="B92" s="6"/>
      <c r="C92" s="6"/>
      <c r="D92" s="6"/>
      <c r="E92" s="6"/>
      <c r="F92" s="6"/>
      <c r="G92" s="6"/>
      <c r="H92" s="6"/>
      <c r="I92" s="6"/>
      <c r="J92" s="6"/>
      <c r="K92" s="6"/>
      <c r="L92" s="6"/>
    </row>
    <row r="93" spans="2:12">
      <c r="B93" s="6"/>
      <c r="C93" s="6"/>
      <c r="D93" s="6"/>
      <c r="E93" s="6"/>
      <c r="F93" s="6"/>
      <c r="G93" s="6"/>
      <c r="H93" s="6"/>
      <c r="I93" s="6"/>
      <c r="J93" s="6"/>
      <c r="K93" s="6"/>
      <c r="L93" s="6"/>
    </row>
    <row r="94" spans="2:12">
      <c r="B94" s="6"/>
      <c r="C94" s="6"/>
      <c r="D94" s="6"/>
      <c r="E94" s="6"/>
      <c r="F94" s="6"/>
      <c r="G94" s="6"/>
      <c r="H94" s="6"/>
      <c r="I94" s="6"/>
      <c r="J94" s="6"/>
      <c r="K94" s="6"/>
      <c r="L94" s="6"/>
    </row>
    <row r="95" spans="2:12">
      <c r="B95" s="6"/>
      <c r="C95" s="6"/>
      <c r="D95" s="6"/>
      <c r="E95" s="6"/>
      <c r="F95" s="6"/>
      <c r="G95" s="6"/>
      <c r="H95" s="6"/>
      <c r="I95" s="6"/>
      <c r="J95" s="6"/>
      <c r="K95" s="6"/>
      <c r="L95" s="6"/>
    </row>
    <row r="96" spans="2:12">
      <c r="B96" s="6"/>
      <c r="C96" s="6"/>
      <c r="D96" s="6"/>
      <c r="E96" s="6"/>
      <c r="F96" s="6"/>
      <c r="G96" s="6"/>
      <c r="H96" s="6"/>
      <c r="I96" s="6"/>
      <c r="J96" s="6"/>
      <c r="K96" s="6"/>
      <c r="L96" s="6"/>
    </row>
    <row r="97" spans="2:12">
      <c r="B97" s="6"/>
      <c r="C97" s="6"/>
      <c r="D97" s="6"/>
      <c r="E97" s="6"/>
      <c r="F97" s="6"/>
      <c r="G97" s="6"/>
      <c r="H97" s="6"/>
      <c r="I97" s="6"/>
      <c r="J97" s="6"/>
      <c r="K97" s="6"/>
      <c r="L97" s="6"/>
    </row>
    <row r="98" spans="2:12">
      <c r="B98" s="6"/>
      <c r="C98" s="6"/>
      <c r="D98" s="6"/>
      <c r="E98" s="6"/>
      <c r="F98" s="6"/>
      <c r="G98" s="6"/>
      <c r="H98" s="6"/>
      <c r="I98" s="6"/>
      <c r="J98" s="6"/>
      <c r="K98" s="6"/>
      <c r="L98" s="6"/>
    </row>
    <row r="99" spans="2:12">
      <c r="B99" s="6"/>
      <c r="C99" s="6"/>
      <c r="D99" s="6"/>
      <c r="E99" s="6"/>
      <c r="F99" s="6"/>
      <c r="G99" s="6"/>
      <c r="H99" s="6"/>
      <c r="I99" s="6"/>
      <c r="J99" s="6"/>
      <c r="K99" s="6"/>
      <c r="L99" s="6"/>
    </row>
    <row r="100" spans="2:12">
      <c r="B100" s="6"/>
      <c r="C100" s="6"/>
      <c r="D100" s="6"/>
      <c r="E100" s="6"/>
      <c r="F100" s="6"/>
      <c r="G100" s="6"/>
      <c r="H100" s="6"/>
      <c r="I100" s="6"/>
      <c r="J100" s="6"/>
      <c r="K100" s="6"/>
      <c r="L100" s="6"/>
    </row>
    <row r="101" spans="2:12">
      <c r="B101" s="6"/>
      <c r="C101" s="6"/>
      <c r="D101" s="6"/>
      <c r="E101" s="6"/>
      <c r="F101" s="6"/>
      <c r="G101" s="6"/>
      <c r="H101" s="6"/>
      <c r="I101" s="6"/>
      <c r="J101" s="6"/>
      <c r="K101" s="6"/>
      <c r="L101" s="6"/>
    </row>
    <row r="102" spans="2:12">
      <c r="B102" s="6"/>
      <c r="C102" s="6"/>
      <c r="D102" s="6"/>
      <c r="E102" s="6"/>
      <c r="F102" s="6"/>
      <c r="G102" s="6"/>
      <c r="H102" s="6"/>
      <c r="I102" s="6"/>
      <c r="J102" s="6"/>
      <c r="K102" s="6"/>
      <c r="L102" s="6"/>
    </row>
    <row r="103" spans="2:12">
      <c r="B103" s="6"/>
      <c r="C103" s="6"/>
      <c r="D103" s="6"/>
      <c r="E103" s="6"/>
      <c r="F103" s="6"/>
      <c r="G103" s="6"/>
      <c r="H103" s="6"/>
      <c r="I103" s="6"/>
      <c r="J103" s="6"/>
      <c r="K103" s="6"/>
      <c r="L103" s="6"/>
    </row>
    <row r="104" spans="2:12">
      <c r="B104" s="6"/>
      <c r="C104" s="6"/>
      <c r="D104" s="6"/>
      <c r="E104" s="6"/>
      <c r="F104" s="6"/>
      <c r="G104" s="6"/>
      <c r="H104" s="6"/>
      <c r="I104" s="6"/>
      <c r="J104" s="6"/>
      <c r="K104" s="6"/>
      <c r="L104" s="6"/>
    </row>
    <row r="105" spans="2:12">
      <c r="B105" s="6"/>
      <c r="C105" s="6"/>
      <c r="D105" s="6"/>
      <c r="E105" s="6"/>
      <c r="F105" s="6"/>
      <c r="G105" s="6"/>
      <c r="H105" s="6"/>
      <c r="I105" s="6"/>
      <c r="J105" s="6"/>
      <c r="K105" s="6"/>
      <c r="L105" s="6"/>
    </row>
    <row r="106" spans="2:12">
      <c r="B106" s="6"/>
      <c r="C106" s="6"/>
      <c r="D106" s="6"/>
      <c r="E106" s="6"/>
      <c r="F106" s="6"/>
      <c r="G106" s="6"/>
      <c r="H106" s="6"/>
      <c r="I106" s="6"/>
      <c r="J106" s="6"/>
      <c r="K106" s="6"/>
      <c r="L106" s="6"/>
    </row>
    <row r="107" spans="2:12">
      <c r="B107" s="6"/>
      <c r="C107" s="6"/>
      <c r="D107" s="6"/>
      <c r="E107" s="6"/>
      <c r="F107" s="6"/>
      <c r="G107" s="6"/>
      <c r="H107" s="6"/>
      <c r="I107" s="6"/>
      <c r="J107" s="6"/>
      <c r="K107" s="6"/>
      <c r="L107" s="6"/>
    </row>
    <row r="108" spans="2:12">
      <c r="B108" s="6"/>
      <c r="C108" s="6"/>
      <c r="D108" s="6"/>
      <c r="E108" s="6"/>
      <c r="F108" s="6"/>
      <c r="G108" s="6"/>
      <c r="H108" s="6"/>
      <c r="I108" s="6"/>
      <c r="J108" s="6"/>
      <c r="K108" s="6"/>
      <c r="L108" s="6"/>
    </row>
    <row r="109" spans="2:12">
      <c r="B109" s="6"/>
      <c r="C109" s="6"/>
      <c r="D109" s="6"/>
      <c r="E109" s="6"/>
      <c r="F109" s="6"/>
      <c r="G109" s="6"/>
      <c r="H109" s="6"/>
      <c r="I109" s="6"/>
      <c r="J109" s="6"/>
      <c r="K109" s="6"/>
      <c r="L109" s="6"/>
    </row>
    <row r="110" spans="2:12">
      <c r="B110" s="6"/>
      <c r="C110" s="6"/>
      <c r="D110" s="6"/>
      <c r="E110" s="6"/>
      <c r="F110" s="6"/>
      <c r="G110" s="6"/>
      <c r="H110" s="6"/>
      <c r="I110" s="6"/>
      <c r="J110" s="6"/>
      <c r="K110" s="6"/>
      <c r="L110" s="6"/>
    </row>
    <row r="111" spans="2:12">
      <c r="B111" s="6"/>
      <c r="C111" s="6"/>
      <c r="D111" s="6"/>
      <c r="E111" s="6"/>
      <c r="F111" s="6"/>
      <c r="G111" s="6"/>
      <c r="H111" s="6"/>
      <c r="I111" s="6"/>
      <c r="J111" s="6"/>
      <c r="K111" s="6"/>
      <c r="L111" s="6"/>
    </row>
    <row r="112" spans="2:12">
      <c r="B112" s="6"/>
      <c r="C112" s="6"/>
      <c r="D112" s="6"/>
      <c r="E112" s="6"/>
      <c r="F112" s="6"/>
      <c r="G112" s="6"/>
      <c r="H112" s="6"/>
      <c r="I112" s="6"/>
      <c r="J112" s="6"/>
      <c r="K112" s="6"/>
      <c r="L112" s="6"/>
    </row>
    <row r="113" spans="2:12">
      <c r="B113" s="6"/>
      <c r="C113" s="6"/>
      <c r="D113" s="6"/>
      <c r="E113" s="6"/>
      <c r="F113" s="6"/>
      <c r="G113" s="6"/>
      <c r="H113" s="6"/>
      <c r="I113" s="6"/>
      <c r="J113" s="6"/>
      <c r="K113" s="6"/>
      <c r="L113" s="6"/>
    </row>
    <row r="114" spans="2:12">
      <c r="B114" s="6"/>
      <c r="C114" s="6"/>
      <c r="D114" s="6"/>
      <c r="E114" s="6"/>
      <c r="F114" s="6"/>
      <c r="G114" s="6"/>
      <c r="H114" s="6"/>
      <c r="I114" s="6"/>
      <c r="J114" s="6"/>
      <c r="K114" s="6"/>
      <c r="L114" s="6"/>
    </row>
    <row r="115" spans="2:12">
      <c r="B115" s="6"/>
      <c r="C115" s="6"/>
      <c r="D115" s="6"/>
      <c r="E115" s="6"/>
      <c r="F115" s="6"/>
      <c r="G115" s="6"/>
      <c r="H115" s="6"/>
      <c r="I115" s="6"/>
      <c r="J115" s="6"/>
      <c r="K115" s="6"/>
      <c r="L115" s="6"/>
    </row>
    <row r="116" spans="2:12">
      <c r="B116" s="6"/>
      <c r="C116" s="6"/>
      <c r="D116" s="6"/>
      <c r="E116" s="6"/>
      <c r="F116" s="6"/>
      <c r="G116" s="6"/>
      <c r="H116" s="6"/>
      <c r="I116" s="6"/>
      <c r="J116" s="6"/>
      <c r="K116" s="6"/>
      <c r="L116" s="6"/>
    </row>
    <row r="117" spans="2:12">
      <c r="B117" s="6"/>
      <c r="C117" s="6"/>
      <c r="D117" s="6"/>
      <c r="E117" s="6"/>
      <c r="F117" s="6"/>
      <c r="G117" s="6"/>
      <c r="H117" s="6"/>
      <c r="I117" s="6"/>
      <c r="J117" s="6"/>
      <c r="K117" s="6"/>
      <c r="L117" s="6"/>
    </row>
    <row r="118" spans="2:12">
      <c r="B118" s="6"/>
      <c r="C118" s="6"/>
      <c r="D118" s="6"/>
      <c r="E118" s="6"/>
      <c r="F118" s="6"/>
      <c r="G118" s="6"/>
      <c r="H118" s="6"/>
      <c r="I118" s="6"/>
      <c r="J118" s="6"/>
      <c r="K118" s="6"/>
      <c r="L118" s="6"/>
    </row>
    <row r="119" spans="2:12">
      <c r="B119" s="6"/>
      <c r="C119" s="6"/>
      <c r="D119" s="6"/>
      <c r="E119" s="6"/>
      <c r="F119" s="6"/>
      <c r="G119" s="6"/>
      <c r="H119" s="6"/>
      <c r="I119" s="6"/>
      <c r="J119" s="6"/>
      <c r="K119" s="6"/>
      <c r="L119" s="6"/>
    </row>
    <row r="120" spans="2:12">
      <c r="B120" s="6"/>
      <c r="C120" s="6"/>
      <c r="D120" s="6"/>
      <c r="E120" s="6"/>
      <c r="F120" s="6"/>
      <c r="G120" s="6"/>
      <c r="H120" s="6"/>
      <c r="I120" s="6"/>
      <c r="J120" s="6"/>
      <c r="K120" s="6"/>
      <c r="L120" s="6"/>
    </row>
    <row r="121" spans="2:12">
      <c r="B121" s="6"/>
      <c r="C121" s="6"/>
      <c r="D121" s="6"/>
      <c r="E121" s="6"/>
      <c r="F121" s="6"/>
      <c r="G121" s="6"/>
      <c r="H121" s="6"/>
      <c r="I121" s="6"/>
      <c r="J121" s="6"/>
      <c r="K121" s="6"/>
      <c r="L121" s="6"/>
    </row>
    <row r="122" spans="2:12">
      <c r="B122" s="6"/>
      <c r="C122" s="6"/>
      <c r="D122" s="6"/>
      <c r="E122" s="6"/>
      <c r="F122" s="6"/>
      <c r="G122" s="6"/>
      <c r="H122" s="6"/>
      <c r="I122" s="6"/>
      <c r="J122" s="6"/>
      <c r="K122" s="6"/>
      <c r="L122" s="6"/>
    </row>
    <row r="123" spans="2:12">
      <c r="B123" s="6"/>
      <c r="C123" s="6"/>
      <c r="D123" s="6"/>
      <c r="E123" s="6"/>
      <c r="F123" s="6"/>
      <c r="G123" s="6"/>
      <c r="H123" s="6"/>
      <c r="I123" s="6"/>
      <c r="J123" s="6"/>
      <c r="K123" s="6"/>
      <c r="L123" s="6"/>
    </row>
    <row r="124" spans="2:12">
      <c r="B124" s="6"/>
      <c r="C124" s="6"/>
      <c r="D124" s="6"/>
      <c r="E124" s="6"/>
      <c r="F124" s="6"/>
      <c r="G124" s="6"/>
      <c r="H124" s="6"/>
      <c r="I124" s="6"/>
      <c r="J124" s="6"/>
      <c r="K124" s="6"/>
      <c r="L124" s="6"/>
    </row>
    <row r="125" spans="2:12">
      <c r="B125" s="6"/>
      <c r="C125" s="6"/>
      <c r="D125" s="6"/>
      <c r="E125" s="6"/>
      <c r="F125" s="6"/>
      <c r="G125" s="6"/>
      <c r="H125" s="6"/>
      <c r="I125" s="6"/>
      <c r="J125" s="6"/>
      <c r="K125" s="6"/>
      <c r="L125" s="6"/>
    </row>
    <row r="126" spans="2:12">
      <c r="B126" s="6"/>
      <c r="C126" s="6"/>
      <c r="D126" s="6"/>
      <c r="E126" s="6"/>
      <c r="F126" s="6"/>
      <c r="G126" s="6"/>
      <c r="H126" s="6"/>
      <c r="I126" s="6"/>
      <c r="J126" s="6"/>
      <c r="K126" s="6"/>
      <c r="L126" s="6"/>
    </row>
    <row r="127" spans="2:12">
      <c r="B127" s="6"/>
      <c r="C127" s="6"/>
      <c r="D127" s="6"/>
      <c r="E127" s="6"/>
      <c r="F127" s="6"/>
      <c r="G127" s="6"/>
      <c r="H127" s="6"/>
      <c r="I127" s="6"/>
      <c r="J127" s="6"/>
      <c r="K127" s="6"/>
      <c r="L127" s="6"/>
    </row>
    <row r="128" spans="2:12">
      <c r="B128" s="6"/>
      <c r="C128" s="6"/>
      <c r="D128" s="6"/>
      <c r="E128" s="6"/>
      <c r="F128" s="6"/>
      <c r="G128" s="6"/>
      <c r="H128" s="6"/>
      <c r="I128" s="6"/>
      <c r="J128" s="6"/>
      <c r="K128" s="6"/>
      <c r="L128" s="6"/>
    </row>
    <row r="129" spans="2:12">
      <c r="B129" s="6"/>
      <c r="C129" s="6"/>
      <c r="D129" s="6"/>
      <c r="E129" s="6"/>
      <c r="F129" s="6"/>
      <c r="G129" s="6"/>
      <c r="H129" s="6"/>
      <c r="I129" s="6"/>
      <c r="J129" s="6"/>
      <c r="K129" s="6"/>
      <c r="L129" s="6"/>
    </row>
    <row r="130" spans="2:12">
      <c r="B130" s="6"/>
      <c r="C130" s="6"/>
      <c r="D130" s="6"/>
      <c r="E130" s="6"/>
      <c r="F130" s="6"/>
      <c r="G130" s="6"/>
      <c r="H130" s="6"/>
      <c r="I130" s="6"/>
      <c r="J130" s="6"/>
      <c r="K130" s="6"/>
      <c r="L130" s="6"/>
    </row>
    <row r="131" spans="2:12">
      <c r="B131" s="6"/>
      <c r="C131" s="6"/>
      <c r="D131" s="6"/>
      <c r="E131" s="6"/>
      <c r="F131" s="6"/>
      <c r="G131" s="6"/>
      <c r="H131" s="6"/>
      <c r="I131" s="6"/>
      <c r="J131" s="6"/>
      <c r="K131" s="6"/>
      <c r="L131" s="6"/>
    </row>
    <row r="132" spans="2:12">
      <c r="B132" s="6"/>
      <c r="C132" s="6"/>
      <c r="D132" s="6"/>
      <c r="E132" s="6"/>
      <c r="F132" s="6"/>
      <c r="G132" s="6"/>
      <c r="H132" s="6"/>
      <c r="I132" s="6"/>
      <c r="J132" s="6"/>
      <c r="K132" s="6"/>
      <c r="L132" s="6"/>
    </row>
    <row r="133" spans="2:12">
      <c r="B133" s="6"/>
      <c r="C133" s="6"/>
      <c r="D133" s="6"/>
      <c r="E133" s="6"/>
      <c r="F133" s="6"/>
      <c r="G133" s="6"/>
      <c r="H133" s="6"/>
      <c r="I133" s="6"/>
      <c r="J133" s="6"/>
      <c r="K133" s="6"/>
      <c r="L133" s="6"/>
    </row>
    <row r="134" spans="2:12">
      <c r="B134" s="6"/>
      <c r="C134" s="6"/>
      <c r="D134" s="6"/>
      <c r="E134" s="6"/>
      <c r="F134" s="6"/>
      <c r="G134" s="6"/>
      <c r="H134" s="6"/>
      <c r="I134" s="6"/>
      <c r="J134" s="6"/>
      <c r="K134" s="6"/>
      <c r="L134" s="6"/>
    </row>
    <row r="135" spans="2:12">
      <c r="B135" s="6"/>
      <c r="C135" s="6"/>
      <c r="D135" s="6"/>
      <c r="E135" s="6"/>
      <c r="F135" s="6"/>
      <c r="G135" s="6"/>
      <c r="H135" s="6"/>
      <c r="I135" s="6"/>
      <c r="J135" s="6"/>
      <c r="K135" s="6"/>
      <c r="L135" s="6"/>
    </row>
    <row r="136" spans="2:12">
      <c r="B136" s="6"/>
      <c r="C136" s="6"/>
      <c r="D136" s="6"/>
      <c r="E136" s="6"/>
      <c r="F136" s="6"/>
      <c r="G136" s="6"/>
      <c r="H136" s="6"/>
      <c r="I136" s="6"/>
      <c r="J136" s="6"/>
      <c r="K136" s="6"/>
      <c r="L136" s="6"/>
    </row>
    <row r="137" spans="2:12">
      <c r="B137" s="6"/>
      <c r="C137" s="6"/>
      <c r="D137" s="6"/>
      <c r="E137" s="6"/>
      <c r="F137" s="6"/>
      <c r="G137" s="6"/>
      <c r="H137" s="6"/>
      <c r="I137" s="6"/>
      <c r="J137" s="6"/>
      <c r="K137" s="6"/>
      <c r="L137" s="6"/>
    </row>
    <row r="138" spans="2:12">
      <c r="B138" s="6"/>
      <c r="C138" s="6"/>
      <c r="D138" s="6"/>
      <c r="E138" s="6"/>
      <c r="F138" s="6"/>
      <c r="G138" s="6"/>
      <c r="H138" s="6"/>
      <c r="I138" s="6"/>
      <c r="J138" s="6"/>
      <c r="K138" s="6"/>
      <c r="L138" s="6"/>
    </row>
    <row r="139" spans="2:12">
      <c r="B139" s="6"/>
      <c r="C139" s="6"/>
      <c r="D139" s="6"/>
      <c r="E139" s="6"/>
      <c r="F139" s="6"/>
      <c r="G139" s="6"/>
      <c r="H139" s="6"/>
      <c r="I139" s="6"/>
      <c r="J139" s="6"/>
      <c r="K139" s="6"/>
      <c r="L139" s="6"/>
    </row>
    <row r="140" spans="2:12">
      <c r="B140" s="6"/>
      <c r="C140" s="6"/>
      <c r="D140" s="6"/>
      <c r="E140" s="6"/>
      <c r="F140" s="6"/>
      <c r="G140" s="6"/>
      <c r="H140" s="6"/>
      <c r="I140" s="6"/>
      <c r="J140" s="6"/>
      <c r="K140" s="6"/>
      <c r="L140" s="6"/>
    </row>
    <row r="141" spans="2:12">
      <c r="B141" s="6"/>
      <c r="C141" s="6"/>
      <c r="D141" s="6"/>
      <c r="E141" s="6"/>
      <c r="F141" s="6"/>
      <c r="G141" s="6"/>
      <c r="H141" s="6"/>
      <c r="I141" s="6"/>
      <c r="J141" s="6"/>
      <c r="K141" s="6"/>
      <c r="L141" s="6"/>
    </row>
    <row r="142" spans="2:12">
      <c r="B142" s="6"/>
      <c r="C142" s="6"/>
      <c r="D142" s="6"/>
      <c r="E142" s="6"/>
      <c r="F142" s="6"/>
      <c r="G142" s="6"/>
      <c r="H142" s="6"/>
      <c r="I142" s="6"/>
      <c r="J142" s="6"/>
      <c r="K142" s="6"/>
      <c r="L142" s="6"/>
    </row>
    <row r="143" spans="2:12">
      <c r="B143" s="6"/>
      <c r="C143" s="6"/>
      <c r="D143" s="6"/>
      <c r="E143" s="6"/>
      <c r="F143" s="6"/>
      <c r="G143" s="6"/>
      <c r="H143" s="6"/>
      <c r="I143" s="6"/>
      <c r="J143" s="6"/>
      <c r="K143" s="6"/>
      <c r="L143" s="6"/>
    </row>
    <row r="144" spans="2:12">
      <c r="B144" s="6"/>
      <c r="C144" s="6"/>
      <c r="D144" s="6"/>
      <c r="E144" s="6"/>
      <c r="F144" s="6"/>
      <c r="G144" s="6"/>
      <c r="H144" s="6"/>
      <c r="I144" s="6"/>
      <c r="J144" s="6"/>
      <c r="K144" s="6"/>
      <c r="L144" s="6"/>
    </row>
    <row r="145" spans="2:12">
      <c r="B145" s="6"/>
      <c r="C145" s="6"/>
      <c r="D145" s="6"/>
      <c r="E145" s="6"/>
      <c r="F145" s="6"/>
      <c r="G145" s="6"/>
      <c r="H145" s="6"/>
      <c r="I145" s="6"/>
      <c r="J145" s="6"/>
      <c r="K145" s="6"/>
      <c r="L145" s="6"/>
    </row>
    <row r="146" spans="2:12">
      <c r="B146" s="6"/>
      <c r="C146" s="6"/>
      <c r="D146" s="6"/>
      <c r="E146" s="6"/>
      <c r="F146" s="6"/>
      <c r="G146" s="6"/>
      <c r="H146" s="6"/>
      <c r="I146" s="6"/>
      <c r="J146" s="6"/>
      <c r="K146" s="6"/>
      <c r="L146" s="6"/>
    </row>
    <row r="147" spans="2:12">
      <c r="B147" s="6"/>
      <c r="C147" s="6"/>
      <c r="D147" s="6"/>
      <c r="E147" s="6"/>
      <c r="F147" s="6"/>
      <c r="G147" s="6"/>
      <c r="H147" s="6"/>
      <c r="I147" s="6"/>
      <c r="J147" s="6"/>
      <c r="K147" s="6"/>
      <c r="L147" s="6"/>
    </row>
    <row r="148" spans="2:12">
      <c r="B148" s="6"/>
      <c r="C148" s="6"/>
      <c r="D148" s="6"/>
      <c r="E148" s="6"/>
      <c r="F148" s="6"/>
      <c r="G148" s="6"/>
      <c r="H148" s="6"/>
      <c r="I148" s="6"/>
      <c r="J148" s="6"/>
      <c r="K148" s="6"/>
      <c r="L148" s="6"/>
    </row>
    <row r="149" spans="2:12">
      <c r="B149" s="6"/>
      <c r="C149" s="6"/>
      <c r="D149" s="6"/>
      <c r="E149" s="6"/>
      <c r="F149" s="6"/>
      <c r="G149" s="6"/>
      <c r="H149" s="6"/>
      <c r="I149" s="6"/>
      <c r="J149" s="6"/>
      <c r="K149" s="6"/>
      <c r="L149" s="6"/>
    </row>
    <row r="150" spans="2:12">
      <c r="B150" s="6"/>
      <c r="C150" s="6"/>
      <c r="D150" s="6"/>
      <c r="E150" s="6"/>
      <c r="F150" s="6"/>
      <c r="G150" s="6"/>
      <c r="H150" s="6"/>
      <c r="I150" s="6"/>
      <c r="J150" s="6"/>
      <c r="K150" s="6"/>
      <c r="L150" s="6"/>
    </row>
    <row r="151" spans="2:12">
      <c r="B151" s="6"/>
      <c r="C151" s="6"/>
      <c r="D151" s="6"/>
      <c r="E151" s="6"/>
      <c r="F151" s="6"/>
      <c r="G151" s="6"/>
      <c r="H151" s="6"/>
      <c r="I151" s="6"/>
      <c r="J151" s="6"/>
      <c r="K151" s="6"/>
      <c r="L151" s="6"/>
    </row>
    <row r="152" spans="2:12">
      <c r="B152" s="6"/>
      <c r="C152" s="6"/>
      <c r="D152" s="6"/>
      <c r="E152" s="6"/>
      <c r="F152" s="6"/>
      <c r="G152" s="6"/>
      <c r="H152" s="6"/>
      <c r="I152" s="6"/>
      <c r="J152" s="6"/>
      <c r="K152" s="6"/>
      <c r="L152" s="6"/>
    </row>
    <row r="153" spans="2:12">
      <c r="B153" s="6"/>
      <c r="C153" s="6"/>
      <c r="D153" s="6"/>
      <c r="E153" s="6"/>
      <c r="F153" s="6"/>
      <c r="G153" s="6"/>
      <c r="H153" s="6"/>
      <c r="I153" s="6"/>
      <c r="J153" s="6"/>
      <c r="K153" s="6"/>
      <c r="L153" s="6"/>
    </row>
    <row r="154" spans="2:12">
      <c r="B154" s="6"/>
      <c r="C154" s="6"/>
      <c r="D154" s="6"/>
      <c r="E154" s="6"/>
      <c r="F154" s="6"/>
      <c r="G154" s="6"/>
      <c r="H154" s="6"/>
      <c r="I154" s="6"/>
      <c r="J154" s="6"/>
      <c r="K154" s="6"/>
      <c r="L154" s="6"/>
    </row>
    <row r="155" spans="2:12">
      <c r="B155" s="6"/>
      <c r="C155" s="6"/>
      <c r="D155" s="6"/>
      <c r="E155" s="6"/>
      <c r="F155" s="6"/>
      <c r="G155" s="6"/>
      <c r="H155" s="6"/>
      <c r="I155" s="6"/>
      <c r="J155" s="6"/>
      <c r="K155" s="6"/>
      <c r="L155" s="6"/>
    </row>
    <row r="156" spans="2:12">
      <c r="B156" s="6"/>
      <c r="C156" s="6"/>
      <c r="D156" s="6"/>
      <c r="E156" s="6"/>
      <c r="F156" s="6"/>
      <c r="G156" s="6"/>
      <c r="H156" s="6"/>
      <c r="I156" s="6"/>
      <c r="J156" s="6"/>
      <c r="K156" s="6"/>
      <c r="L156" s="6"/>
    </row>
    <row r="157" spans="2:12">
      <c r="B157" s="6"/>
      <c r="C157" s="6"/>
      <c r="D157" s="6"/>
      <c r="E157" s="6"/>
      <c r="F157" s="6"/>
      <c r="G157" s="6"/>
      <c r="H157" s="6"/>
      <c r="I157" s="6"/>
      <c r="J157" s="6"/>
      <c r="K157" s="6"/>
      <c r="L157" s="6"/>
    </row>
    <row r="158" spans="2:12">
      <c r="B158" s="6"/>
      <c r="C158" s="6"/>
      <c r="D158" s="6"/>
      <c r="E158" s="6"/>
      <c r="F158" s="6"/>
      <c r="G158" s="6"/>
      <c r="H158" s="6"/>
      <c r="I158" s="6"/>
      <c r="J158" s="6"/>
      <c r="K158" s="6"/>
      <c r="L158" s="6"/>
    </row>
    <row r="159" spans="2:12">
      <c r="B159" s="6"/>
      <c r="C159" s="6"/>
      <c r="D159" s="6"/>
      <c r="E159" s="6"/>
      <c r="F159" s="6"/>
      <c r="G159" s="6"/>
      <c r="H159" s="6"/>
      <c r="I159" s="6"/>
      <c r="J159" s="6"/>
      <c r="K159" s="6"/>
      <c r="L159" s="6"/>
    </row>
    <row r="160" spans="2:12">
      <c r="B160" s="6"/>
      <c r="C160" s="6"/>
      <c r="D160" s="6"/>
      <c r="E160" s="6"/>
      <c r="F160" s="6"/>
      <c r="G160" s="6"/>
      <c r="H160" s="6"/>
      <c r="I160" s="6"/>
      <c r="J160" s="6"/>
      <c r="K160" s="6"/>
      <c r="L160" s="6"/>
    </row>
    <row r="161" spans="2:12">
      <c r="B161" s="6"/>
      <c r="C161" s="6"/>
      <c r="D161" s="6"/>
      <c r="E161" s="6"/>
      <c r="F161" s="6"/>
      <c r="G161" s="6"/>
      <c r="H161" s="6"/>
      <c r="I161" s="6"/>
      <c r="J161" s="6"/>
      <c r="K161" s="6"/>
      <c r="L161" s="6"/>
    </row>
    <row r="162" spans="2:12">
      <c r="B162" s="6"/>
      <c r="C162" s="6"/>
      <c r="D162" s="6"/>
      <c r="E162" s="6"/>
      <c r="F162" s="6"/>
      <c r="G162" s="6"/>
      <c r="H162" s="6"/>
      <c r="I162" s="6"/>
      <c r="J162" s="6"/>
      <c r="K162" s="6"/>
      <c r="L162" s="6"/>
    </row>
    <row r="163" spans="2:12">
      <c r="B163" s="6"/>
      <c r="C163" s="6"/>
      <c r="D163" s="6"/>
      <c r="E163" s="6"/>
      <c r="F163" s="6"/>
      <c r="G163" s="6"/>
      <c r="H163" s="6"/>
      <c r="I163" s="6"/>
      <c r="J163" s="6"/>
      <c r="K163" s="6"/>
      <c r="L163" s="6"/>
    </row>
    <row r="164" spans="2:12">
      <c r="B164" s="6"/>
      <c r="C164" s="6"/>
      <c r="D164" s="6"/>
      <c r="E164" s="6"/>
      <c r="F164" s="6"/>
      <c r="G164" s="6"/>
      <c r="H164" s="6"/>
      <c r="I164" s="6"/>
      <c r="J164" s="6"/>
      <c r="K164" s="6"/>
      <c r="L164" s="6"/>
    </row>
    <row r="165" spans="2:12">
      <c r="B165" s="6"/>
      <c r="C165" s="6"/>
      <c r="D165" s="6"/>
      <c r="E165" s="6"/>
      <c r="F165" s="6"/>
      <c r="G165" s="6"/>
      <c r="H165" s="6"/>
      <c r="I165" s="6"/>
      <c r="J165" s="6"/>
      <c r="K165" s="6"/>
      <c r="L165" s="6"/>
    </row>
    <row r="166" spans="2:12">
      <c r="B166" s="6"/>
      <c r="C166" s="6"/>
      <c r="D166" s="6"/>
      <c r="E166" s="6"/>
      <c r="F166" s="6"/>
      <c r="G166" s="6"/>
      <c r="H166" s="6"/>
      <c r="I166" s="6"/>
      <c r="J166" s="6"/>
      <c r="K166" s="6"/>
      <c r="L166" s="6"/>
    </row>
    <row r="167" spans="2:12">
      <c r="B167" s="6"/>
      <c r="C167" s="6"/>
      <c r="D167" s="6"/>
      <c r="E167" s="6"/>
      <c r="F167" s="6"/>
      <c r="G167" s="6"/>
      <c r="H167" s="6"/>
      <c r="I167" s="6"/>
      <c r="J167" s="6"/>
      <c r="K167" s="6"/>
      <c r="L167" s="6"/>
    </row>
    <row r="168" spans="2:12">
      <c r="B168" s="6"/>
      <c r="C168" s="6"/>
      <c r="D168" s="6"/>
      <c r="E168" s="6"/>
      <c r="F168" s="6"/>
      <c r="G168" s="6"/>
      <c r="H168" s="6"/>
      <c r="I168" s="6"/>
      <c r="J168" s="6"/>
      <c r="K168" s="6"/>
      <c r="L168" s="6"/>
    </row>
    <row r="169" spans="2:12">
      <c r="B169" s="6"/>
      <c r="C169" s="6"/>
      <c r="D169" s="6"/>
      <c r="E169" s="6"/>
      <c r="F169" s="6"/>
      <c r="G169" s="6"/>
      <c r="H169" s="6"/>
      <c r="I169" s="6"/>
      <c r="J169" s="6"/>
      <c r="K169" s="6"/>
      <c r="L169" s="6"/>
    </row>
    <row r="170" spans="2:12">
      <c r="B170" s="6"/>
      <c r="C170" s="6"/>
      <c r="D170" s="6"/>
      <c r="E170" s="6"/>
      <c r="F170" s="6"/>
      <c r="G170" s="6"/>
      <c r="H170" s="6"/>
      <c r="I170" s="6"/>
      <c r="J170" s="6"/>
      <c r="K170" s="6"/>
      <c r="L170" s="6"/>
    </row>
    <row r="171" spans="2:12">
      <c r="B171" s="6"/>
      <c r="C171" s="6"/>
      <c r="D171" s="6"/>
      <c r="E171" s="6"/>
      <c r="F171" s="6"/>
      <c r="G171" s="6"/>
      <c r="H171" s="6"/>
      <c r="I171" s="6"/>
      <c r="J171" s="6"/>
      <c r="K171" s="6"/>
      <c r="L171" s="6"/>
    </row>
    <row r="172" spans="2:12">
      <c r="B172" s="6"/>
      <c r="C172" s="6"/>
      <c r="D172" s="6"/>
      <c r="E172" s="6"/>
      <c r="F172" s="6"/>
      <c r="G172" s="6"/>
      <c r="H172" s="6"/>
      <c r="I172" s="6"/>
      <c r="J172" s="6"/>
      <c r="K172" s="6"/>
      <c r="L172" s="6"/>
    </row>
    <row r="173" spans="2:12">
      <c r="B173" s="6"/>
      <c r="C173" s="6"/>
      <c r="D173" s="6"/>
      <c r="E173" s="6"/>
      <c r="F173" s="6"/>
      <c r="G173" s="6"/>
      <c r="H173" s="6"/>
      <c r="I173" s="6"/>
      <c r="J173" s="6"/>
      <c r="K173" s="6"/>
      <c r="L173" s="6"/>
    </row>
    <row r="174" spans="2:12">
      <c r="B174" s="6"/>
      <c r="C174" s="6"/>
      <c r="D174" s="6"/>
      <c r="E174" s="6"/>
      <c r="F174" s="6"/>
      <c r="G174" s="6"/>
      <c r="H174" s="6"/>
      <c r="I174" s="6"/>
      <c r="J174" s="6"/>
      <c r="K174" s="6"/>
      <c r="L174" s="6"/>
    </row>
    <row r="175" spans="2:12">
      <c r="B175" s="6"/>
      <c r="C175" s="6"/>
      <c r="D175" s="6"/>
      <c r="E175" s="6"/>
      <c r="F175" s="6"/>
      <c r="G175" s="6"/>
      <c r="H175" s="6"/>
      <c r="I175" s="6"/>
      <c r="J175" s="6"/>
      <c r="K175" s="6"/>
      <c r="L175" s="6"/>
    </row>
    <row r="176" spans="2:12">
      <c r="B176" s="6"/>
      <c r="C176" s="6"/>
      <c r="D176" s="6"/>
      <c r="E176" s="6"/>
      <c r="F176" s="6"/>
      <c r="G176" s="6"/>
      <c r="H176" s="6"/>
      <c r="I176" s="6"/>
      <c r="J176" s="6"/>
      <c r="K176" s="6"/>
      <c r="L176" s="6"/>
    </row>
    <row r="177" spans="2:12">
      <c r="B177" s="6"/>
      <c r="C177" s="6"/>
      <c r="D177" s="6"/>
      <c r="E177" s="6"/>
      <c r="F177" s="6"/>
      <c r="G177" s="6"/>
      <c r="H177" s="6"/>
      <c r="I177" s="6"/>
      <c r="J177" s="6"/>
      <c r="K177" s="6"/>
      <c r="L177" s="6"/>
    </row>
    <row r="178" spans="2:12">
      <c r="B178" s="6"/>
      <c r="C178" s="6"/>
      <c r="D178" s="6"/>
      <c r="E178" s="6"/>
      <c r="F178" s="6"/>
      <c r="G178" s="6"/>
      <c r="H178" s="6"/>
      <c r="I178" s="6"/>
      <c r="J178" s="6"/>
      <c r="K178" s="6"/>
      <c r="L178" s="6"/>
    </row>
    <row r="179" spans="2:12">
      <c r="B179" s="6"/>
      <c r="C179" s="6"/>
      <c r="D179" s="6"/>
      <c r="E179" s="6"/>
      <c r="F179" s="6"/>
      <c r="G179" s="6"/>
      <c r="H179" s="6"/>
      <c r="I179" s="6"/>
      <c r="J179" s="6"/>
      <c r="K179" s="6"/>
      <c r="L179" s="6"/>
    </row>
    <row r="180" spans="2:12">
      <c r="B180" s="6"/>
      <c r="C180" s="6"/>
      <c r="D180" s="6"/>
      <c r="E180" s="6"/>
      <c r="F180" s="6"/>
      <c r="G180" s="6"/>
      <c r="H180" s="6"/>
      <c r="I180" s="6"/>
      <c r="J180" s="6"/>
      <c r="K180" s="6"/>
      <c r="L180" s="6"/>
    </row>
    <row r="181" spans="2:12">
      <c r="B181" s="6"/>
      <c r="C181" s="6"/>
      <c r="D181" s="6"/>
      <c r="E181" s="6"/>
      <c r="F181" s="6"/>
      <c r="G181" s="6"/>
      <c r="H181" s="6"/>
      <c r="I181" s="6"/>
      <c r="J181" s="6"/>
      <c r="K181" s="6"/>
      <c r="L181" s="6"/>
    </row>
    <row r="182" spans="2:12">
      <c r="B182" s="6"/>
      <c r="C182" s="6"/>
      <c r="D182" s="6"/>
      <c r="E182" s="6"/>
      <c r="F182" s="6"/>
      <c r="G182" s="6"/>
      <c r="H182" s="6"/>
      <c r="I182" s="6"/>
      <c r="J182" s="6"/>
      <c r="K182" s="6"/>
      <c r="L182" s="6"/>
    </row>
    <row r="183" spans="2:12">
      <c r="B183" s="6"/>
      <c r="C183" s="6"/>
      <c r="D183" s="6"/>
      <c r="E183" s="6"/>
      <c r="F183" s="6"/>
      <c r="G183" s="6"/>
      <c r="H183" s="6"/>
      <c r="I183" s="6"/>
      <c r="J183" s="6"/>
      <c r="K183" s="6"/>
      <c r="L183" s="6"/>
    </row>
    <row r="184" spans="2:12">
      <c r="B184" s="6"/>
      <c r="C184" s="6"/>
      <c r="D184" s="6"/>
      <c r="E184" s="6"/>
      <c r="F184" s="6"/>
      <c r="G184" s="6"/>
      <c r="H184" s="6"/>
      <c r="I184" s="6"/>
      <c r="J184" s="6"/>
      <c r="K184" s="6"/>
      <c r="L184" s="6"/>
    </row>
    <row r="185" spans="2:12">
      <c r="B185" s="6"/>
      <c r="C185" s="6"/>
      <c r="D185" s="6"/>
      <c r="E185" s="6"/>
      <c r="F185" s="6"/>
      <c r="G185" s="6"/>
      <c r="H185" s="6"/>
      <c r="I185" s="6"/>
      <c r="J185" s="6"/>
      <c r="K185" s="6"/>
      <c r="L185" s="6"/>
    </row>
    <row r="186" spans="2:12">
      <c r="B186" s="6"/>
      <c r="C186" s="6"/>
      <c r="D186" s="6"/>
      <c r="E186" s="6"/>
      <c r="F186" s="6"/>
      <c r="G186" s="6"/>
      <c r="H186" s="6"/>
      <c r="I186" s="6"/>
      <c r="J186" s="6"/>
      <c r="K186" s="6"/>
      <c r="L186" s="6"/>
    </row>
    <row r="187" spans="2:12">
      <c r="B187" s="6"/>
      <c r="C187" s="6"/>
      <c r="D187" s="6"/>
      <c r="E187" s="6"/>
      <c r="F187" s="6"/>
      <c r="G187" s="6"/>
      <c r="H187" s="6"/>
      <c r="I187" s="6"/>
      <c r="J187" s="6"/>
      <c r="K187" s="6"/>
      <c r="L187" s="6"/>
    </row>
    <row r="188" spans="2:12">
      <c r="B188" s="6"/>
      <c r="C188" s="6"/>
      <c r="D188" s="6"/>
      <c r="E188" s="6"/>
      <c r="F188" s="6"/>
      <c r="G188" s="6"/>
      <c r="H188" s="6"/>
      <c r="I188" s="6"/>
      <c r="J188" s="6"/>
      <c r="K188" s="6"/>
      <c r="L188" s="6"/>
    </row>
    <row r="189" spans="2:12">
      <c r="B189" s="6"/>
      <c r="C189" s="6"/>
      <c r="D189" s="6"/>
      <c r="E189" s="6"/>
      <c r="F189" s="6"/>
      <c r="G189" s="6"/>
      <c r="H189" s="6"/>
      <c r="I189" s="6"/>
      <c r="J189" s="6"/>
      <c r="K189" s="6"/>
      <c r="L189" s="6"/>
    </row>
    <row r="190" spans="2:12" ht="14.25" customHeight="1">
      <c r="B190" s="6"/>
      <c r="C190" s="6"/>
      <c r="D190" s="6"/>
      <c r="E190" s="6"/>
      <c r="F190" s="6"/>
      <c r="G190" s="6"/>
      <c r="H190" s="6"/>
      <c r="I190" s="6"/>
      <c r="J190" s="6"/>
      <c r="K190" s="6"/>
      <c r="L190" s="6"/>
    </row>
    <row r="191" spans="2:12" ht="12.75" customHeight="1">
      <c r="B191" s="6"/>
      <c r="C191" s="6"/>
      <c r="D191" s="6"/>
      <c r="E191" s="6"/>
      <c r="F191" s="6"/>
      <c r="G191" s="6"/>
      <c r="H191" s="6"/>
      <c r="I191" s="6"/>
      <c r="J191" s="6"/>
      <c r="K191" s="6"/>
      <c r="L191" s="6"/>
    </row>
    <row r="192" spans="2:12" ht="12.75" customHeight="1">
      <c r="B192" s="6"/>
      <c r="C192" s="6"/>
      <c r="D192" s="6"/>
      <c r="E192" s="6"/>
      <c r="F192" s="6"/>
      <c r="G192" s="6"/>
      <c r="H192" s="6"/>
      <c r="I192" s="6"/>
      <c r="J192" s="6"/>
      <c r="K192" s="6"/>
      <c r="L192" s="6"/>
    </row>
    <row r="193" spans="2:12" ht="12.75" customHeight="1">
      <c r="B193" s="6"/>
      <c r="C193" s="6"/>
      <c r="D193" s="6"/>
      <c r="E193" s="6"/>
      <c r="F193" s="6"/>
      <c r="G193" s="6"/>
      <c r="H193" s="6"/>
      <c r="I193" s="6"/>
      <c r="J193" s="6"/>
      <c r="K193" s="6"/>
      <c r="L193" s="6"/>
    </row>
    <row r="194" spans="2:12" ht="12.75" customHeight="1">
      <c r="B194" s="6"/>
      <c r="C194" s="6"/>
      <c r="D194" s="6"/>
      <c r="E194" s="6"/>
      <c r="F194" s="6"/>
      <c r="G194" s="6"/>
      <c r="H194" s="6"/>
      <c r="I194" s="6"/>
      <c r="J194" s="6"/>
      <c r="K194" s="6"/>
      <c r="L194" s="6"/>
    </row>
    <row r="195" spans="2:12" ht="12.75" customHeight="1">
      <c r="B195" s="6"/>
      <c r="C195" s="6"/>
      <c r="D195" s="6"/>
      <c r="E195" s="6"/>
      <c r="F195" s="6"/>
      <c r="G195" s="6"/>
      <c r="H195" s="6"/>
      <c r="I195" s="6"/>
      <c r="J195" s="6"/>
      <c r="K195" s="6"/>
      <c r="L195" s="6"/>
    </row>
    <row r="196" spans="2:12" ht="12.75" customHeight="1">
      <c r="B196" s="6"/>
      <c r="C196" s="6"/>
      <c r="D196" s="6"/>
      <c r="E196" s="6"/>
      <c r="F196" s="6"/>
      <c r="G196" s="6"/>
      <c r="H196" s="6"/>
      <c r="I196" s="6"/>
      <c r="J196" s="6"/>
      <c r="K196" s="6"/>
      <c r="L196" s="6"/>
    </row>
    <row r="197" spans="2:12" ht="12.75" customHeight="1">
      <c r="B197" s="6"/>
      <c r="C197" s="6"/>
      <c r="D197" s="6"/>
      <c r="E197" s="6"/>
      <c r="F197" s="6"/>
      <c r="G197" s="6"/>
      <c r="H197" s="6"/>
      <c r="I197" s="6"/>
      <c r="J197" s="6"/>
      <c r="K197" s="6"/>
      <c r="L197" s="6"/>
    </row>
    <row r="198" spans="2:12" ht="12.75" customHeight="1">
      <c r="B198" s="6"/>
      <c r="C198" s="6"/>
      <c r="D198" s="6"/>
      <c r="E198" s="6"/>
      <c r="F198" s="6"/>
      <c r="G198" s="6"/>
      <c r="H198" s="6"/>
      <c r="I198" s="6"/>
      <c r="J198" s="6"/>
      <c r="K198" s="6"/>
      <c r="L198" s="6"/>
    </row>
    <row r="199" spans="2:12" ht="12.75" customHeight="1">
      <c r="B199" s="6"/>
      <c r="C199" s="6"/>
      <c r="D199" s="6"/>
      <c r="E199" s="6"/>
      <c r="F199" s="6"/>
      <c r="G199" s="6"/>
      <c r="H199" s="6"/>
      <c r="I199" s="6"/>
      <c r="J199" s="6"/>
      <c r="K199" s="6"/>
      <c r="L199" s="6"/>
    </row>
    <row r="200" spans="2:12" ht="12.75" customHeight="1">
      <c r="B200" s="6"/>
      <c r="C200" s="6"/>
      <c r="D200" s="6"/>
      <c r="E200" s="6"/>
      <c r="F200" s="6"/>
      <c r="G200" s="6"/>
      <c r="H200" s="6"/>
      <c r="I200" s="6"/>
      <c r="J200" s="6"/>
      <c r="K200" s="6"/>
      <c r="L200" s="6"/>
    </row>
    <row r="201" spans="2:12" ht="12.75" customHeight="1">
      <c r="B201" s="6"/>
      <c r="C201" s="6"/>
      <c r="D201" s="6"/>
      <c r="E201" s="6"/>
      <c r="F201" s="6"/>
      <c r="G201" s="6"/>
      <c r="H201" s="6"/>
      <c r="I201" s="6"/>
      <c r="J201" s="6"/>
      <c r="K201" s="6"/>
      <c r="L201" s="6"/>
    </row>
    <row r="202" spans="2:12" ht="12.75" customHeight="1">
      <c r="B202" s="6"/>
      <c r="C202" s="6"/>
      <c r="D202" s="6"/>
      <c r="E202" s="6"/>
      <c r="F202" s="6"/>
      <c r="G202" s="6"/>
      <c r="H202" s="6"/>
      <c r="I202" s="6"/>
      <c r="J202" s="6"/>
      <c r="K202" s="6"/>
      <c r="L202" s="6"/>
    </row>
    <row r="203" spans="2:12" ht="12.75" customHeight="1">
      <c r="B203" s="6"/>
      <c r="C203" s="6"/>
      <c r="D203" s="6"/>
      <c r="E203" s="6"/>
      <c r="F203" s="6"/>
      <c r="G203" s="6"/>
      <c r="H203" s="6"/>
      <c r="I203" s="6"/>
      <c r="J203" s="6"/>
      <c r="K203" s="6"/>
      <c r="L203" s="6"/>
    </row>
    <row r="204" spans="2:12" ht="12.75" customHeight="1">
      <c r="B204" s="6"/>
      <c r="C204" s="6"/>
      <c r="D204" s="6"/>
      <c r="E204" s="6"/>
      <c r="F204" s="6"/>
      <c r="G204" s="6"/>
      <c r="H204" s="6"/>
      <c r="I204" s="6"/>
      <c r="J204" s="6"/>
      <c r="K204" s="6"/>
      <c r="L204" s="6"/>
    </row>
    <row r="205" spans="2:12" ht="12.75" customHeight="1">
      <c r="B205" s="6"/>
      <c r="C205" s="6"/>
      <c r="D205" s="6"/>
      <c r="E205" s="6"/>
      <c r="F205" s="6"/>
      <c r="G205" s="6"/>
      <c r="H205" s="6"/>
      <c r="I205" s="6"/>
      <c r="J205" s="6"/>
      <c r="K205" s="6"/>
      <c r="L205" s="6"/>
    </row>
    <row r="206" spans="2:12">
      <c r="B206" s="6"/>
      <c r="C206" s="6"/>
      <c r="D206" s="6"/>
      <c r="E206" s="6"/>
      <c r="F206" s="6"/>
      <c r="G206" s="6"/>
      <c r="H206" s="6"/>
      <c r="I206" s="6"/>
      <c r="J206" s="6"/>
      <c r="K206" s="6"/>
      <c r="L206" s="6"/>
    </row>
    <row r="207" spans="2:12">
      <c r="B207" s="6"/>
      <c r="C207" s="6"/>
      <c r="D207" s="6"/>
      <c r="E207" s="6"/>
      <c r="F207" s="6"/>
      <c r="G207" s="6"/>
      <c r="H207" s="6"/>
      <c r="I207" s="6"/>
      <c r="J207" s="6"/>
      <c r="K207" s="6"/>
      <c r="L207" s="6"/>
    </row>
    <row r="208" spans="2:12">
      <c r="B208" s="6"/>
      <c r="C208" s="6"/>
      <c r="D208" s="6"/>
      <c r="E208" s="6"/>
      <c r="F208" s="6"/>
      <c r="G208" s="6"/>
      <c r="H208" s="6"/>
      <c r="I208" s="6"/>
      <c r="J208" s="6"/>
      <c r="K208" s="6"/>
      <c r="L208" s="6"/>
    </row>
    <row r="209" spans="2:12">
      <c r="B209" s="6"/>
      <c r="C209" s="6"/>
      <c r="D209" s="6"/>
      <c r="E209" s="6"/>
      <c r="F209" s="6"/>
      <c r="G209" s="6"/>
      <c r="H209" s="6"/>
      <c r="I209" s="6"/>
      <c r="J209" s="6"/>
      <c r="K209" s="6"/>
      <c r="L209" s="6"/>
    </row>
    <row r="210" spans="2:12">
      <c r="B210" s="6"/>
      <c r="C210" s="6"/>
      <c r="D210" s="6"/>
      <c r="E210" s="6"/>
      <c r="F210" s="6"/>
      <c r="G210" s="6"/>
      <c r="H210" s="6"/>
      <c r="I210" s="6"/>
      <c r="J210" s="6"/>
      <c r="K210" s="6"/>
      <c r="L210" s="6"/>
    </row>
    <row r="211" spans="2:12">
      <c r="B211" s="6"/>
      <c r="C211" s="6"/>
      <c r="D211" s="6"/>
      <c r="E211" s="6"/>
      <c r="F211" s="6"/>
      <c r="G211" s="6"/>
      <c r="H211" s="6"/>
      <c r="I211" s="6"/>
      <c r="J211" s="6"/>
      <c r="K211" s="6"/>
      <c r="L211" s="6"/>
    </row>
    <row r="212" spans="2:12">
      <c r="B212" s="6"/>
      <c r="C212" s="6"/>
      <c r="D212" s="6"/>
      <c r="E212" s="6"/>
      <c r="F212" s="6"/>
      <c r="G212" s="6"/>
      <c r="H212" s="6"/>
      <c r="I212" s="6"/>
      <c r="J212" s="6"/>
      <c r="K212" s="6"/>
      <c r="L212" s="6"/>
    </row>
    <row r="213" spans="2:12">
      <c r="B213" s="6"/>
      <c r="C213" s="6"/>
      <c r="D213" s="6"/>
      <c r="E213" s="6"/>
      <c r="F213" s="6"/>
      <c r="G213" s="6"/>
      <c r="H213" s="6"/>
      <c r="I213" s="6"/>
      <c r="J213" s="6"/>
      <c r="K213" s="6"/>
      <c r="L213" s="6"/>
    </row>
    <row r="214" spans="2:12">
      <c r="B214" s="6"/>
      <c r="C214" s="6"/>
      <c r="D214" s="6"/>
      <c r="E214" s="6"/>
      <c r="F214" s="6"/>
      <c r="G214" s="6"/>
      <c r="H214" s="6"/>
      <c r="I214" s="6"/>
      <c r="J214" s="6"/>
      <c r="K214" s="6"/>
      <c r="L214" s="6"/>
    </row>
    <row r="215" spans="2:12">
      <c r="B215" s="6"/>
      <c r="C215" s="6"/>
      <c r="D215" s="6"/>
      <c r="E215" s="6"/>
      <c r="F215" s="6"/>
      <c r="G215" s="6"/>
      <c r="H215" s="6"/>
      <c r="I215" s="6"/>
      <c r="J215" s="6"/>
      <c r="K215" s="6"/>
      <c r="L215" s="6"/>
    </row>
    <row r="216" spans="2:12">
      <c r="B216" s="6"/>
      <c r="C216" s="6"/>
      <c r="D216" s="6"/>
      <c r="E216" s="6"/>
      <c r="F216" s="6"/>
      <c r="G216" s="6"/>
      <c r="H216" s="6"/>
      <c r="I216" s="6"/>
      <c r="J216" s="6"/>
      <c r="K216" s="6"/>
      <c r="L216" s="6"/>
    </row>
    <row r="217" spans="2:12">
      <c r="B217" s="6"/>
      <c r="C217" s="6"/>
      <c r="D217" s="6"/>
      <c r="E217" s="6"/>
      <c r="F217" s="6"/>
      <c r="G217" s="6"/>
      <c r="H217" s="6"/>
      <c r="I217" s="6"/>
      <c r="J217" s="6"/>
      <c r="K217" s="6"/>
      <c r="L217" s="6"/>
    </row>
    <row r="218" spans="2:12">
      <c r="B218" s="6"/>
      <c r="C218" s="6"/>
      <c r="D218" s="6"/>
      <c r="E218" s="6"/>
      <c r="F218" s="6"/>
      <c r="G218" s="6"/>
      <c r="H218" s="6"/>
      <c r="I218" s="6"/>
      <c r="J218" s="6"/>
      <c r="K218" s="6"/>
      <c r="L218" s="6"/>
    </row>
    <row r="219" spans="2:12">
      <c r="B219" s="6"/>
      <c r="C219" s="6"/>
      <c r="D219" s="6"/>
      <c r="E219" s="6"/>
      <c r="F219" s="6"/>
      <c r="G219" s="6"/>
      <c r="H219" s="6"/>
      <c r="I219" s="6"/>
      <c r="J219" s="6"/>
      <c r="K219" s="6"/>
      <c r="L219" s="6"/>
    </row>
    <row r="220" spans="2:12">
      <c r="B220" s="6"/>
      <c r="C220" s="6"/>
      <c r="D220" s="6"/>
      <c r="E220" s="6"/>
      <c r="F220" s="6"/>
      <c r="G220" s="6"/>
      <c r="H220" s="6"/>
      <c r="I220" s="6"/>
      <c r="J220" s="6"/>
      <c r="K220" s="6"/>
      <c r="L220" s="6"/>
    </row>
    <row r="221" spans="2:12">
      <c r="B221" s="6"/>
      <c r="C221" s="6"/>
      <c r="D221" s="6"/>
      <c r="E221" s="6"/>
      <c r="F221" s="6"/>
      <c r="G221" s="6"/>
      <c r="H221" s="6"/>
      <c r="I221" s="6"/>
      <c r="J221" s="6"/>
      <c r="K221" s="6"/>
      <c r="L221" s="6"/>
    </row>
    <row r="222" spans="2:12">
      <c r="B222" s="6"/>
      <c r="C222" s="6"/>
      <c r="D222" s="6"/>
      <c r="E222" s="6"/>
      <c r="F222" s="6"/>
      <c r="G222" s="6"/>
      <c r="H222" s="6"/>
      <c r="I222" s="6"/>
      <c r="J222" s="6"/>
      <c r="K222" s="6"/>
      <c r="L222" s="6"/>
    </row>
    <row r="223" spans="2:12">
      <c r="B223" s="6"/>
      <c r="C223" s="6"/>
      <c r="D223" s="6"/>
      <c r="E223" s="6"/>
      <c r="F223" s="6"/>
      <c r="G223" s="6"/>
      <c r="H223" s="6"/>
      <c r="I223" s="6"/>
      <c r="J223" s="6"/>
      <c r="K223" s="6"/>
      <c r="L22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rowBreaks count="1" manualBreakCount="1">
    <brk id="62"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57"/>
  <sheetViews>
    <sheetView view="pageBreakPreview" topLeftCell="A8" zoomScale="60" zoomScaleNormal="100" workbookViewId="0">
      <selection activeCell="F21" sqref="F21:F50"/>
    </sheetView>
  </sheetViews>
  <sheetFormatPr defaultRowHeight="12.75"/>
  <cols>
    <col min="1" max="1" width="24" customWidth="1"/>
    <col min="4" max="4" width="25.28515625" customWidth="1"/>
    <col min="6" max="6" width="19.140625" bestFit="1" customWidth="1"/>
    <col min="8" max="8" width="17.7109375" customWidth="1"/>
    <col min="9" max="9" width="14" customWidth="1"/>
    <col min="11" max="11" width="14.28515625" customWidth="1"/>
  </cols>
  <sheetData>
    <row r="1" spans="1:11" ht="15.75">
      <c r="A1" s="1658" t="s">
        <v>388</v>
      </c>
      <c r="B1" s="1658"/>
      <c r="C1" s="1658"/>
      <c r="D1" s="1658"/>
      <c r="E1" s="1658"/>
      <c r="F1" s="1658"/>
      <c r="G1" s="1658"/>
      <c r="H1" s="1658"/>
      <c r="I1" s="1658"/>
      <c r="J1" s="1658"/>
      <c r="K1" s="1658"/>
    </row>
    <row r="2" spans="1:11" ht="15.75">
      <c r="A2" s="1659" t="s">
        <v>569</v>
      </c>
      <c r="B2" s="1659"/>
      <c r="C2" s="1659"/>
      <c r="D2" s="1659"/>
      <c r="E2" s="1659"/>
      <c r="F2" s="1659"/>
      <c r="G2" s="1659"/>
      <c r="H2" s="1659"/>
      <c r="I2" s="1659"/>
      <c r="J2" s="1659"/>
      <c r="K2" s="1659"/>
    </row>
    <row r="3" spans="1:11" ht="15.75">
      <c r="A3" s="1659" t="s">
        <v>570</v>
      </c>
      <c r="B3" s="1659"/>
      <c r="C3" s="1659"/>
      <c r="D3" s="1659"/>
      <c r="E3" s="1659"/>
      <c r="F3" s="1659"/>
      <c r="G3" s="1659"/>
      <c r="H3" s="1659"/>
      <c r="I3" s="1659"/>
      <c r="J3" s="1659"/>
      <c r="K3" s="1659"/>
    </row>
    <row r="4" spans="1:11" ht="15.75">
      <c r="A4" s="533"/>
      <c r="B4" s="533"/>
      <c r="C4" s="533"/>
      <c r="D4" s="1659"/>
      <c r="E4" s="1659"/>
      <c r="F4" s="1659"/>
      <c r="G4" s="1659"/>
      <c r="H4" s="533"/>
      <c r="I4" s="533"/>
      <c r="J4" s="533"/>
      <c r="K4" s="533"/>
    </row>
    <row r="5" spans="1:11">
      <c r="A5" s="427"/>
      <c r="B5" s="427"/>
      <c r="C5" s="427"/>
      <c r="D5" s="427"/>
      <c r="E5" s="427"/>
      <c r="F5" s="427"/>
      <c r="G5" s="427"/>
      <c r="H5" s="427"/>
      <c r="I5" s="427"/>
      <c r="J5" s="427"/>
      <c r="K5" s="427"/>
    </row>
    <row r="6" spans="1:11">
      <c r="A6" s="427"/>
      <c r="B6" s="427"/>
      <c r="C6" s="427"/>
      <c r="D6" s="427"/>
      <c r="E6" s="427"/>
      <c r="F6" s="427"/>
      <c r="G6" s="427"/>
      <c r="H6" s="427"/>
      <c r="I6" s="427"/>
      <c r="J6" s="427"/>
      <c r="K6" s="427"/>
    </row>
    <row r="7" spans="1:11" ht="16.5" thickBot="1">
      <c r="A7" s="792"/>
      <c r="B7" s="793"/>
      <c r="C7" s="793"/>
      <c r="D7" s="793"/>
      <c r="E7" s="793"/>
      <c r="F7" s="793"/>
      <c r="G7" s="793"/>
      <c r="H7" s="793"/>
      <c r="I7" s="793"/>
      <c r="J7" s="793"/>
      <c r="K7" s="793"/>
    </row>
    <row r="8" spans="1:11" ht="63">
      <c r="A8" s="794" t="str">
        <f>'WSQ NSPL'!A8</f>
        <v>Reconciliation Revenue Requirement For Year 2023 Available May 25, 2024</v>
      </c>
      <c r="B8" s="793"/>
      <c r="C8" s="793"/>
      <c r="D8" s="794" t="str">
        <f>'WSQ NSPL'!D8</f>
        <v>2023 Forecasted Revenue Requirement For Year 2023</v>
      </c>
      <c r="E8" s="793"/>
      <c r="F8" s="793"/>
      <c r="G8" s="533"/>
      <c r="H8" s="794" t="s">
        <v>550</v>
      </c>
      <c r="I8" s="533"/>
      <c r="J8" s="533"/>
      <c r="K8" s="533"/>
    </row>
    <row r="9" spans="1:11" ht="15.75">
      <c r="A9" s="795" t="s">
        <v>115</v>
      </c>
      <c r="B9" s="793"/>
      <c r="C9" s="793"/>
      <c r="D9" s="795"/>
      <c r="E9" s="793"/>
      <c r="F9" s="793"/>
      <c r="G9" s="533"/>
      <c r="H9" s="796"/>
      <c r="I9" s="533"/>
      <c r="J9" s="533"/>
      <c r="K9" s="533"/>
    </row>
    <row r="10" spans="1:11" ht="16.5" thickBot="1">
      <c r="A10" s="881">
        <v>5599849.5609844467</v>
      </c>
      <c r="B10" s="797" t="str">
        <f>"-"</f>
        <v>-</v>
      </c>
      <c r="C10" s="798"/>
      <c r="D10" s="881">
        <v>6216348.3059909828</v>
      </c>
      <c r="E10" s="799"/>
      <c r="F10" s="800" t="str">
        <f>"="</f>
        <v>=</v>
      </c>
      <c r="G10" s="801"/>
      <c r="H10" s="802">
        <f>IF(A10=0,0,D10-A10)</f>
        <v>616498.74500653613</v>
      </c>
      <c r="I10" s="533"/>
      <c r="J10" s="533"/>
      <c r="K10" s="533"/>
    </row>
    <row r="11" spans="1:11" ht="15.75">
      <c r="A11" s="803"/>
      <c r="B11" s="804"/>
      <c r="C11" s="804"/>
      <c r="D11" s="803"/>
      <c r="E11" s="803"/>
      <c r="F11" s="804"/>
      <c r="G11" s="803"/>
      <c r="H11" s="533"/>
      <c r="I11" s="533"/>
      <c r="J11" s="533"/>
      <c r="K11" s="533"/>
    </row>
    <row r="12" spans="1:11" ht="16.5" thickBot="1">
      <c r="A12" s="805"/>
      <c r="B12" s="806"/>
      <c r="C12" s="806"/>
      <c r="D12" s="805"/>
      <c r="E12" s="805"/>
      <c r="F12" s="806"/>
      <c r="G12" s="805"/>
      <c r="H12" s="807"/>
      <c r="I12" s="807"/>
      <c r="J12" s="807"/>
      <c r="K12" s="807"/>
    </row>
    <row r="13" spans="1:11" ht="15.75">
      <c r="A13" s="808"/>
      <c r="B13" s="804"/>
      <c r="C13" s="804"/>
      <c r="D13" s="803"/>
      <c r="E13" s="803"/>
      <c r="F13" s="804"/>
      <c r="G13" s="803"/>
      <c r="H13" s="533"/>
      <c r="I13" s="533"/>
      <c r="J13" s="533"/>
      <c r="K13" s="533"/>
    </row>
    <row r="14" spans="1:11" ht="31.5">
      <c r="A14" s="809" t="s">
        <v>551</v>
      </c>
      <c r="B14" s="804"/>
      <c r="C14" s="804"/>
      <c r="D14" s="810" t="s">
        <v>552</v>
      </c>
      <c r="E14" s="803"/>
      <c r="F14" s="810" t="s">
        <v>553</v>
      </c>
      <c r="G14" s="811" t="s">
        <v>554</v>
      </c>
      <c r="H14" s="812" t="s">
        <v>555</v>
      </c>
      <c r="I14" s="810" t="s">
        <v>556</v>
      </c>
      <c r="J14" s="813"/>
      <c r="K14" s="810" t="s">
        <v>557</v>
      </c>
    </row>
    <row r="15" spans="1:11" ht="15.75">
      <c r="A15" s="809" t="s">
        <v>558</v>
      </c>
      <c r="B15" s="804"/>
      <c r="C15" s="804"/>
      <c r="D15" s="533"/>
      <c r="E15" s="814"/>
      <c r="F15" s="882">
        <v>6.4749999999999981E-3</v>
      </c>
      <c r="G15" s="345"/>
      <c r="H15" s="533"/>
      <c r="I15" s="533"/>
      <c r="J15" s="533"/>
      <c r="K15" s="533"/>
    </row>
    <row r="16" spans="1:11" ht="15.75">
      <c r="A16" s="809"/>
      <c r="B16" s="804"/>
      <c r="C16" s="804"/>
      <c r="D16" s="533"/>
      <c r="E16" s="814"/>
      <c r="F16" s="814"/>
      <c r="G16" s="803"/>
      <c r="H16" s="533"/>
      <c r="I16" s="533"/>
      <c r="J16" s="533"/>
      <c r="K16" s="533"/>
    </row>
    <row r="17" spans="1:11" ht="15.75">
      <c r="A17" s="809" t="str">
        <f>'WSQ NSPL'!A17</f>
        <v>An over or under collection will be recovered prorata over 2023, held for 2024 and returned prorate over 2025</v>
      </c>
      <c r="B17" s="804"/>
      <c r="C17" s="804"/>
      <c r="D17" s="533"/>
      <c r="E17" s="814"/>
      <c r="F17" s="814"/>
      <c r="G17" s="803"/>
      <c r="H17" s="533"/>
      <c r="I17" s="533"/>
      <c r="J17" s="533"/>
      <c r="K17" s="533"/>
    </row>
    <row r="18" spans="1:11" ht="15.75">
      <c r="A18" s="815" t="s">
        <v>115</v>
      </c>
      <c r="B18" s="804"/>
      <c r="C18" s="804"/>
      <c r="D18" s="804"/>
      <c r="E18" s="804"/>
      <c r="F18" s="1516" t="s">
        <v>115</v>
      </c>
      <c r="G18" s="533"/>
      <c r="H18" s="533"/>
      <c r="I18" s="533"/>
      <c r="J18" s="533"/>
      <c r="K18" s="533"/>
    </row>
    <row r="19" spans="1:11" ht="15.75">
      <c r="A19" s="816"/>
      <c r="B19" s="804"/>
      <c r="C19" s="804"/>
      <c r="D19" s="804"/>
      <c r="E19" s="804"/>
      <c r="F19" s="2"/>
      <c r="G19" s="533"/>
      <c r="H19" s="811"/>
      <c r="I19" s="804"/>
      <c r="J19" s="804"/>
      <c r="K19" s="804"/>
    </row>
    <row r="20" spans="1:11" ht="15.75">
      <c r="A20" s="816" t="s">
        <v>559</v>
      </c>
      <c r="B20" s="804"/>
      <c r="C20" s="804"/>
      <c r="D20" s="804"/>
      <c r="E20" s="804"/>
      <c r="F20" s="2"/>
      <c r="G20" s="533"/>
      <c r="H20" s="811" t="s">
        <v>560</v>
      </c>
      <c r="I20" s="804"/>
      <c r="J20" s="804"/>
      <c r="K20" s="804"/>
    </row>
    <row r="21" spans="1:11" ht="15.75">
      <c r="A21" s="793" t="s">
        <v>186</v>
      </c>
      <c r="B21" s="1341" t="str">
        <f>"Year "&amp;TCOS!L4-2</f>
        <v>Year 2023</v>
      </c>
      <c r="C21" s="793"/>
      <c r="D21" s="817">
        <f>H10/12</f>
        <v>51374.895417211344</v>
      </c>
      <c r="E21" s="817"/>
      <c r="F21" s="1517">
        <f>F15</f>
        <v>6.4749999999999981E-3</v>
      </c>
      <c r="G21" s="1249">
        <v>12</v>
      </c>
      <c r="H21" s="817">
        <f>F21*D21*G21*-1</f>
        <v>-3991.82937391732</v>
      </c>
      <c r="I21" s="817"/>
      <c r="J21" s="817"/>
      <c r="K21" s="817">
        <f>(-H21+D21)*-1</f>
        <v>-55366.724791128661</v>
      </c>
    </row>
    <row r="22" spans="1:11" ht="15.75">
      <c r="A22" s="793" t="s">
        <v>561</v>
      </c>
      <c r="B22" s="1341" t="str">
        <f>B21</f>
        <v>Year 2023</v>
      </c>
      <c r="C22" s="793"/>
      <c r="D22" s="817">
        <f>+D21</f>
        <v>51374.895417211344</v>
      </c>
      <c r="E22" s="817"/>
      <c r="F22" s="1517">
        <f>+F21</f>
        <v>6.4749999999999981E-3</v>
      </c>
      <c r="G22" s="1249">
        <f t="shared" ref="G22:G32" si="0">+G21-1</f>
        <v>11</v>
      </c>
      <c r="H22" s="817">
        <f t="shared" ref="H22:H32" si="1">F22*D22*G22*-1</f>
        <v>-3659.1769260908768</v>
      </c>
      <c r="I22" s="817"/>
      <c r="J22" s="817"/>
      <c r="K22" s="817">
        <f t="shared" ref="K22:K32" si="2">(-H22+D22)*-1</f>
        <v>-55034.072343302221</v>
      </c>
    </row>
    <row r="23" spans="1:11" ht="15.75">
      <c r="A23" s="793" t="s">
        <v>187</v>
      </c>
      <c r="B23" s="1341" t="str">
        <f t="shared" ref="B23:B32" si="3">B22</f>
        <v>Year 2023</v>
      </c>
      <c r="C23" s="793"/>
      <c r="D23" s="817">
        <f t="shared" ref="D23:D32" si="4">+D22</f>
        <v>51374.895417211344</v>
      </c>
      <c r="E23" s="817"/>
      <c r="F23" s="1517">
        <f t="shared" ref="F23:F32" si="5">+F22</f>
        <v>6.4749999999999981E-3</v>
      </c>
      <c r="G23" s="1249">
        <f t="shared" si="0"/>
        <v>10</v>
      </c>
      <c r="H23" s="817">
        <f t="shared" si="1"/>
        <v>-3326.5244782644331</v>
      </c>
      <c r="I23" s="817"/>
      <c r="J23" s="817"/>
      <c r="K23" s="817">
        <f t="shared" si="2"/>
        <v>-54701.419895475774</v>
      </c>
    </row>
    <row r="24" spans="1:11" ht="15.75">
      <c r="A24" s="793" t="s">
        <v>188</v>
      </c>
      <c r="B24" s="1341" t="str">
        <f t="shared" si="3"/>
        <v>Year 2023</v>
      </c>
      <c r="C24" s="793"/>
      <c r="D24" s="817">
        <f t="shared" si="4"/>
        <v>51374.895417211344</v>
      </c>
      <c r="E24" s="817"/>
      <c r="F24" s="1517">
        <f t="shared" si="5"/>
        <v>6.4749999999999981E-3</v>
      </c>
      <c r="G24" s="1249">
        <f t="shared" si="0"/>
        <v>9</v>
      </c>
      <c r="H24" s="817">
        <f t="shared" si="1"/>
        <v>-2993.8720304379899</v>
      </c>
      <c r="I24" s="817"/>
      <c r="J24" s="817"/>
      <c r="K24" s="817">
        <f t="shared" si="2"/>
        <v>-54368.767447649334</v>
      </c>
    </row>
    <row r="25" spans="1:11" ht="15.75">
      <c r="A25" s="793" t="s">
        <v>189</v>
      </c>
      <c r="B25" s="1341" t="str">
        <f t="shared" si="3"/>
        <v>Year 2023</v>
      </c>
      <c r="C25" s="793"/>
      <c r="D25" s="817">
        <f t="shared" si="4"/>
        <v>51374.895417211344</v>
      </c>
      <c r="E25" s="817"/>
      <c r="F25" s="1517">
        <f t="shared" si="5"/>
        <v>6.4749999999999981E-3</v>
      </c>
      <c r="G25" s="1249">
        <f t="shared" si="0"/>
        <v>8</v>
      </c>
      <c r="H25" s="817">
        <f t="shared" si="1"/>
        <v>-2661.2195826115467</v>
      </c>
      <c r="I25" s="817"/>
      <c r="J25" s="817"/>
      <c r="K25" s="817">
        <f t="shared" si="2"/>
        <v>-54036.114999822894</v>
      </c>
    </row>
    <row r="26" spans="1:11" ht="15.75">
      <c r="A26" s="793" t="s">
        <v>383</v>
      </c>
      <c r="B26" s="1341" t="str">
        <f t="shared" si="3"/>
        <v>Year 2023</v>
      </c>
      <c r="C26" s="793"/>
      <c r="D26" s="817">
        <f t="shared" si="4"/>
        <v>51374.895417211344</v>
      </c>
      <c r="E26" s="817"/>
      <c r="F26" s="1517">
        <f t="shared" si="5"/>
        <v>6.4749999999999981E-3</v>
      </c>
      <c r="G26" s="1249">
        <f t="shared" si="0"/>
        <v>7</v>
      </c>
      <c r="H26" s="817">
        <f t="shared" si="1"/>
        <v>-2328.5671347851035</v>
      </c>
      <c r="I26" s="817"/>
      <c r="J26" s="817"/>
      <c r="K26" s="817">
        <f t="shared" si="2"/>
        <v>-53703.462551996447</v>
      </c>
    </row>
    <row r="27" spans="1:11" ht="15.75">
      <c r="A27" s="793" t="s">
        <v>190</v>
      </c>
      <c r="B27" s="1341" t="str">
        <f t="shared" si="3"/>
        <v>Year 2023</v>
      </c>
      <c r="C27" s="793"/>
      <c r="D27" s="817">
        <f t="shared" si="4"/>
        <v>51374.895417211344</v>
      </c>
      <c r="E27" s="817"/>
      <c r="F27" s="1517">
        <f t="shared" si="5"/>
        <v>6.4749999999999981E-3</v>
      </c>
      <c r="G27" s="1249">
        <f t="shared" si="0"/>
        <v>6</v>
      </c>
      <c r="H27" s="817">
        <f t="shared" si="1"/>
        <v>-1995.91468695866</v>
      </c>
      <c r="I27" s="817"/>
      <c r="J27" s="817"/>
      <c r="K27" s="817">
        <f t="shared" si="2"/>
        <v>-53370.810104170007</v>
      </c>
    </row>
    <row r="28" spans="1:11" ht="15.75">
      <c r="A28" s="793" t="s">
        <v>191</v>
      </c>
      <c r="B28" s="1341" t="str">
        <f t="shared" si="3"/>
        <v>Year 2023</v>
      </c>
      <c r="C28" s="793"/>
      <c r="D28" s="817">
        <f t="shared" si="4"/>
        <v>51374.895417211344</v>
      </c>
      <c r="E28" s="817"/>
      <c r="F28" s="1517">
        <f t="shared" si="5"/>
        <v>6.4749999999999981E-3</v>
      </c>
      <c r="G28" s="1249">
        <f t="shared" si="0"/>
        <v>5</v>
      </c>
      <c r="H28" s="817">
        <f t="shared" si="1"/>
        <v>-1663.2622391322166</v>
      </c>
      <c r="I28" s="817"/>
      <c r="J28" s="817"/>
      <c r="K28" s="817">
        <f t="shared" si="2"/>
        <v>-53038.157656343559</v>
      </c>
    </row>
    <row r="29" spans="1:11" ht="15.75">
      <c r="A29" s="793" t="s">
        <v>193</v>
      </c>
      <c r="B29" s="1341" t="str">
        <f t="shared" si="3"/>
        <v>Year 2023</v>
      </c>
      <c r="C29" s="793"/>
      <c r="D29" s="817">
        <f t="shared" si="4"/>
        <v>51374.895417211344</v>
      </c>
      <c r="E29" s="817"/>
      <c r="F29" s="1517">
        <f t="shared" si="5"/>
        <v>6.4749999999999981E-3</v>
      </c>
      <c r="G29" s="1249">
        <f t="shared" si="0"/>
        <v>4</v>
      </c>
      <c r="H29" s="817">
        <f t="shared" si="1"/>
        <v>-1330.6097913057733</v>
      </c>
      <c r="I29" s="817"/>
      <c r="J29" s="817"/>
      <c r="K29" s="817">
        <f t="shared" si="2"/>
        <v>-52705.505208517119</v>
      </c>
    </row>
    <row r="30" spans="1:11" ht="15.75">
      <c r="A30" s="793" t="s">
        <v>562</v>
      </c>
      <c r="B30" s="1341" t="str">
        <f t="shared" si="3"/>
        <v>Year 2023</v>
      </c>
      <c r="C30" s="793"/>
      <c r="D30" s="817">
        <f t="shared" si="4"/>
        <v>51374.895417211344</v>
      </c>
      <c r="E30" s="817"/>
      <c r="F30" s="1517">
        <f t="shared" si="5"/>
        <v>6.4749999999999981E-3</v>
      </c>
      <c r="G30" s="1249">
        <f t="shared" si="0"/>
        <v>3</v>
      </c>
      <c r="H30" s="817">
        <f t="shared" si="1"/>
        <v>-997.95734347933001</v>
      </c>
      <c r="I30" s="817"/>
      <c r="J30" s="817"/>
      <c r="K30" s="817">
        <f t="shared" si="2"/>
        <v>-52372.852760690672</v>
      </c>
    </row>
    <row r="31" spans="1:11" ht="15.75">
      <c r="A31" s="793" t="s">
        <v>563</v>
      </c>
      <c r="B31" s="1341" t="str">
        <f t="shared" si="3"/>
        <v>Year 2023</v>
      </c>
      <c r="C31" s="793"/>
      <c r="D31" s="817">
        <f t="shared" si="4"/>
        <v>51374.895417211344</v>
      </c>
      <c r="E31" s="817"/>
      <c r="F31" s="1517">
        <f t="shared" si="5"/>
        <v>6.4749999999999981E-3</v>
      </c>
      <c r="G31" s="1249">
        <f t="shared" si="0"/>
        <v>2</v>
      </c>
      <c r="H31" s="817">
        <f t="shared" si="1"/>
        <v>-665.30489565288667</v>
      </c>
      <c r="I31" s="817"/>
      <c r="J31" s="817"/>
      <c r="K31" s="817">
        <f t="shared" si="2"/>
        <v>-52040.200312864232</v>
      </c>
    </row>
    <row r="32" spans="1:11" ht="15.75">
      <c r="A32" s="793" t="s">
        <v>192</v>
      </c>
      <c r="B32" s="1341" t="str">
        <f t="shared" si="3"/>
        <v>Year 2023</v>
      </c>
      <c r="C32" s="793"/>
      <c r="D32" s="817">
        <f t="shared" si="4"/>
        <v>51374.895417211344</v>
      </c>
      <c r="E32" s="817"/>
      <c r="F32" s="1517">
        <f t="shared" si="5"/>
        <v>6.4749999999999981E-3</v>
      </c>
      <c r="G32" s="1249">
        <f t="shared" si="0"/>
        <v>1</v>
      </c>
      <c r="H32" s="820">
        <f t="shared" si="1"/>
        <v>-332.65244782644334</v>
      </c>
      <c r="I32" s="817"/>
      <c r="J32" s="817"/>
      <c r="K32" s="817">
        <f t="shared" si="2"/>
        <v>-51707.547865037785</v>
      </c>
    </row>
    <row r="33" spans="1:11" ht="15.75">
      <c r="A33" s="793"/>
      <c r="B33" s="1341"/>
      <c r="C33" s="793"/>
      <c r="D33" s="817"/>
      <c r="E33" s="817"/>
      <c r="F33" s="1517"/>
      <c r="G33" s="804"/>
      <c r="H33" s="817">
        <f>SUM(H21:H32)</f>
        <v>-25946.890930462578</v>
      </c>
      <c r="I33" s="817"/>
      <c r="J33" s="817"/>
      <c r="K33" s="821">
        <f>SUM(K21:K32)</f>
        <v>-642445.63593699876</v>
      </c>
    </row>
    <row r="34" spans="1:11" ht="15.75">
      <c r="A34" s="793"/>
      <c r="B34" s="1341"/>
      <c r="C34" s="793"/>
      <c r="D34" s="817"/>
      <c r="E34" s="817"/>
      <c r="F34" s="1517"/>
      <c r="G34" s="804"/>
      <c r="H34" s="817"/>
      <c r="I34" s="817" t="s">
        <v>115</v>
      </c>
      <c r="J34" s="817"/>
      <c r="K34" s="533"/>
    </row>
    <row r="35" spans="1:11" ht="15.75">
      <c r="A35" s="793"/>
      <c r="B35" s="1341"/>
      <c r="C35" s="793"/>
      <c r="D35" s="803"/>
      <c r="E35" s="803"/>
      <c r="F35" s="1517"/>
      <c r="G35" s="804"/>
      <c r="H35" s="822" t="s">
        <v>564</v>
      </c>
      <c r="I35" s="817"/>
      <c r="J35" s="817"/>
      <c r="K35" s="817"/>
    </row>
    <row r="36" spans="1:11" ht="15.75">
      <c r="A36" s="793" t="s">
        <v>565</v>
      </c>
      <c r="B36" s="1341" t="str">
        <f>"Year "&amp;TCOS!L4-1</f>
        <v>Year 2024</v>
      </c>
      <c r="C36" s="793"/>
      <c r="D36" s="803">
        <f>K33</f>
        <v>-642445.63593699876</v>
      </c>
      <c r="E36" s="803"/>
      <c r="F36" s="1517">
        <f>F32</f>
        <v>6.4749999999999981E-3</v>
      </c>
      <c r="G36" s="1249">
        <v>12</v>
      </c>
      <c r="H36" s="817">
        <f>+G36*F36*D36</f>
        <v>-49918.025912304787</v>
      </c>
      <c r="I36" s="817"/>
      <c r="J36" s="817"/>
      <c r="K36" s="821">
        <f>+D36+H36</f>
        <v>-692363.66184930352</v>
      </c>
    </row>
    <row r="37" spans="1:11" ht="15.75">
      <c r="A37" s="793"/>
      <c r="B37" s="1341"/>
      <c r="C37" s="793"/>
      <c r="D37" s="803"/>
      <c r="E37" s="803"/>
      <c r="F37" s="1517"/>
      <c r="G37" s="793"/>
      <c r="H37" s="817"/>
      <c r="I37" s="817"/>
      <c r="J37" s="817"/>
      <c r="K37" s="817"/>
    </row>
    <row r="38" spans="1:11" ht="15.75">
      <c r="A38" s="823" t="s">
        <v>566</v>
      </c>
      <c r="B38" s="1341"/>
      <c r="C38" s="793"/>
      <c r="D38" s="817"/>
      <c r="E38" s="817"/>
      <c r="F38" s="1517"/>
      <c r="G38" s="793"/>
      <c r="H38" s="822" t="s">
        <v>560</v>
      </c>
      <c r="I38" s="817"/>
      <c r="J38" s="817"/>
      <c r="K38" s="817"/>
    </row>
    <row r="39" spans="1:11" ht="15.75">
      <c r="A39" s="793" t="s">
        <v>186</v>
      </c>
      <c r="B39" s="1341" t="str">
        <f>"Year "&amp;TCOS!L4</f>
        <v>Year 2025</v>
      </c>
      <c r="C39" s="793"/>
      <c r="D39" s="803">
        <f>-K36</f>
        <v>692363.66184930352</v>
      </c>
      <c r="E39" s="803"/>
      <c r="F39" s="1517">
        <f>F15</f>
        <v>6.4749999999999981E-3</v>
      </c>
      <c r="G39" s="793"/>
      <c r="H39" s="817">
        <f xml:space="preserve"> -F39*D39</f>
        <v>-4483.0547104742391</v>
      </c>
      <c r="I39" s="817">
        <f>PMT(F39,12,K$36)</f>
        <v>60154.023503713244</v>
      </c>
      <c r="J39" s="817"/>
      <c r="K39" s="817">
        <f>(+D39+D39*F39-I39)*-1</f>
        <v>-636692.69305606454</v>
      </c>
    </row>
    <row r="40" spans="1:11" ht="15.75">
      <c r="A40" s="793" t="s">
        <v>561</v>
      </c>
      <c r="B40" s="1341" t="str">
        <f>+B39</f>
        <v>Year 2025</v>
      </c>
      <c r="C40" s="793"/>
      <c r="D40" s="803">
        <f>-K39</f>
        <v>636692.69305606454</v>
      </c>
      <c r="E40" s="803"/>
      <c r="F40" s="1517">
        <f>+F39</f>
        <v>6.4749999999999981E-3</v>
      </c>
      <c r="G40" s="793"/>
      <c r="H40" s="817">
        <f xml:space="preserve"> -F40*D40</f>
        <v>-4122.5851875380167</v>
      </c>
      <c r="I40" s="817">
        <f>I39</f>
        <v>60154.023503713244</v>
      </c>
      <c r="J40" s="817"/>
      <c r="K40" s="817">
        <f t="shared" ref="K40:K50" si="6">(+D40+D40*F40-I40)*-1</f>
        <v>-580661.25473988941</v>
      </c>
    </row>
    <row r="41" spans="1:11" ht="15.75">
      <c r="A41" s="793" t="s">
        <v>187</v>
      </c>
      <c r="B41" s="1341" t="str">
        <f>+B40</f>
        <v>Year 2025</v>
      </c>
      <c r="C41" s="793"/>
      <c r="D41" s="803">
        <f t="shared" ref="D41:D50" si="7">-K40</f>
        <v>580661.25473988941</v>
      </c>
      <c r="E41" s="803"/>
      <c r="F41" s="1517">
        <f t="shared" ref="F41:F50" si="8">+F40</f>
        <v>6.4749999999999981E-3</v>
      </c>
      <c r="G41" s="793"/>
      <c r="H41" s="817">
        <f t="shared" ref="H41:H50" si="9" xml:space="preserve"> -F41*D41</f>
        <v>-3759.7816244407827</v>
      </c>
      <c r="I41" s="817">
        <f t="shared" ref="I41:I50" si="10">I40</f>
        <v>60154.023503713244</v>
      </c>
      <c r="J41" s="817"/>
      <c r="K41" s="817">
        <f t="shared" si="6"/>
        <v>-524267.01286061696</v>
      </c>
    </row>
    <row r="42" spans="1:11" ht="15.75">
      <c r="A42" s="793" t="s">
        <v>188</v>
      </c>
      <c r="B42" s="1341" t="str">
        <f>+B41</f>
        <v>Year 2025</v>
      </c>
      <c r="C42" s="793"/>
      <c r="D42" s="803">
        <f t="shared" si="7"/>
        <v>524267.01286061696</v>
      </c>
      <c r="E42" s="803"/>
      <c r="F42" s="1517">
        <f t="shared" si="8"/>
        <v>6.4749999999999981E-3</v>
      </c>
      <c r="G42" s="793"/>
      <c r="H42" s="817">
        <f t="shared" si="9"/>
        <v>-3394.6289082724938</v>
      </c>
      <c r="I42" s="817">
        <f t="shared" si="10"/>
        <v>60154.023503713244</v>
      </c>
      <c r="J42" s="817"/>
      <c r="K42" s="817">
        <f t="shared" si="6"/>
        <v>-467507.61826517625</v>
      </c>
    </row>
    <row r="43" spans="1:11" ht="15.75">
      <c r="A43" s="793" t="s">
        <v>189</v>
      </c>
      <c r="B43" s="1341" t="str">
        <f>+B42</f>
        <v>Year 2025</v>
      </c>
      <c r="C43" s="793"/>
      <c r="D43" s="803">
        <f t="shared" si="7"/>
        <v>467507.61826517625</v>
      </c>
      <c r="E43" s="803"/>
      <c r="F43" s="1517">
        <f t="shared" si="8"/>
        <v>6.4749999999999981E-3</v>
      </c>
      <c r="G43" s="793"/>
      <c r="H43" s="817">
        <f t="shared" si="9"/>
        <v>-3027.1118282670154</v>
      </c>
      <c r="I43" s="817">
        <f>I42</f>
        <v>60154.023503713244</v>
      </c>
      <c r="J43" s="817"/>
      <c r="K43" s="817">
        <f t="shared" si="6"/>
        <v>-410380.70658972999</v>
      </c>
    </row>
    <row r="44" spans="1:11" ht="15.75">
      <c r="A44" s="793" t="s">
        <v>383</v>
      </c>
      <c r="B44" s="1341" t="str">
        <f>B43</f>
        <v>Year 2025</v>
      </c>
      <c r="C44" s="533"/>
      <c r="D44" s="803">
        <f t="shared" si="7"/>
        <v>410380.70658972999</v>
      </c>
      <c r="E44" s="803"/>
      <c r="F44" s="1517">
        <f t="shared" si="8"/>
        <v>6.4749999999999981E-3</v>
      </c>
      <c r="G44" s="793"/>
      <c r="H44" s="817">
        <f t="shared" si="9"/>
        <v>-2657.2150751685008</v>
      </c>
      <c r="I44" s="817">
        <f t="shared" si="10"/>
        <v>60154.023503713244</v>
      </c>
      <c r="J44" s="817"/>
      <c r="K44" s="817">
        <f t="shared" si="6"/>
        <v>-352883.89816118527</v>
      </c>
    </row>
    <row r="45" spans="1:11" ht="15.75">
      <c r="A45" s="793" t="s">
        <v>190</v>
      </c>
      <c r="B45" s="1341" t="str">
        <f t="shared" ref="B45:B50" si="11">+B44</f>
        <v>Year 2025</v>
      </c>
      <c r="C45" s="793"/>
      <c r="D45" s="803">
        <f t="shared" si="7"/>
        <v>352883.89816118527</v>
      </c>
      <c r="E45" s="803"/>
      <c r="F45" s="1517">
        <f t="shared" si="8"/>
        <v>6.4749999999999981E-3</v>
      </c>
      <c r="G45" s="793"/>
      <c r="H45" s="817">
        <f t="shared" si="9"/>
        <v>-2284.9232405936741</v>
      </c>
      <c r="I45" s="817">
        <f t="shared" si="10"/>
        <v>60154.023503713244</v>
      </c>
      <c r="J45" s="817"/>
      <c r="K45" s="817">
        <f t="shared" si="6"/>
        <v>-295014.79789806571</v>
      </c>
    </row>
    <row r="46" spans="1:11" ht="15.75">
      <c r="A46" s="793" t="s">
        <v>191</v>
      </c>
      <c r="B46" s="1341" t="str">
        <f t="shared" si="11"/>
        <v>Year 2025</v>
      </c>
      <c r="C46" s="793"/>
      <c r="D46" s="803">
        <f t="shared" si="7"/>
        <v>295014.79789806571</v>
      </c>
      <c r="E46" s="803"/>
      <c r="F46" s="1517">
        <f t="shared" si="8"/>
        <v>6.4749999999999981E-3</v>
      </c>
      <c r="G46" s="793"/>
      <c r="H46" s="817">
        <f t="shared" si="9"/>
        <v>-1910.220816389975</v>
      </c>
      <c r="I46" s="817">
        <f t="shared" si="10"/>
        <v>60154.023503713244</v>
      </c>
      <c r="J46" s="817"/>
      <c r="K46" s="817">
        <f t="shared" si="6"/>
        <v>-236770.9952107424</v>
      </c>
    </row>
    <row r="47" spans="1:11" ht="15.75">
      <c r="A47" s="793" t="s">
        <v>193</v>
      </c>
      <c r="B47" s="1341" t="str">
        <f t="shared" si="11"/>
        <v>Year 2025</v>
      </c>
      <c r="C47" s="793"/>
      <c r="D47" s="803">
        <f t="shared" si="7"/>
        <v>236770.9952107424</v>
      </c>
      <c r="E47" s="803"/>
      <c r="F47" s="1517">
        <f t="shared" si="8"/>
        <v>6.4749999999999981E-3</v>
      </c>
      <c r="G47" s="793"/>
      <c r="H47" s="817">
        <f t="shared" si="9"/>
        <v>-1533.0921939895566</v>
      </c>
      <c r="I47" s="817">
        <f>I46</f>
        <v>60154.023503713244</v>
      </c>
      <c r="J47" s="817"/>
      <c r="K47" s="817">
        <f t="shared" si="6"/>
        <v>-178150.0639010187</v>
      </c>
    </row>
    <row r="48" spans="1:11" ht="15.75">
      <c r="A48" s="793" t="s">
        <v>562</v>
      </c>
      <c r="B48" s="1341" t="str">
        <f t="shared" si="11"/>
        <v>Year 2025</v>
      </c>
      <c r="C48" s="793"/>
      <c r="D48" s="803">
        <f t="shared" si="7"/>
        <v>178150.0639010187</v>
      </c>
      <c r="E48" s="803"/>
      <c r="F48" s="1517">
        <f t="shared" si="8"/>
        <v>6.4749999999999981E-3</v>
      </c>
      <c r="G48" s="793"/>
      <c r="H48" s="817">
        <f t="shared" si="9"/>
        <v>-1153.5216637590956</v>
      </c>
      <c r="I48" s="817">
        <f t="shared" si="10"/>
        <v>60154.023503713244</v>
      </c>
      <c r="J48" s="817"/>
      <c r="K48" s="817">
        <f t="shared" si="6"/>
        <v>-119149.56206106456</v>
      </c>
    </row>
    <row r="49" spans="1:11" ht="15.75">
      <c r="A49" s="793" t="s">
        <v>563</v>
      </c>
      <c r="B49" s="1341" t="str">
        <f t="shared" si="11"/>
        <v>Year 2025</v>
      </c>
      <c r="C49" s="793"/>
      <c r="D49" s="803">
        <f t="shared" si="7"/>
        <v>119149.56206106456</v>
      </c>
      <c r="E49" s="803"/>
      <c r="F49" s="1517">
        <f t="shared" si="8"/>
        <v>6.4749999999999981E-3</v>
      </c>
      <c r="G49" s="793"/>
      <c r="H49" s="817">
        <f t="shared" si="9"/>
        <v>-771.49341434539281</v>
      </c>
      <c r="I49" s="817">
        <f t="shared" si="10"/>
        <v>60154.023503713244</v>
      </c>
      <c r="J49" s="817"/>
      <c r="K49" s="817">
        <f t="shared" si="6"/>
        <v>-59767.031971696699</v>
      </c>
    </row>
    <row r="50" spans="1:11" ht="15.75">
      <c r="A50" s="793" t="s">
        <v>192</v>
      </c>
      <c r="B50" s="1341" t="str">
        <f t="shared" si="11"/>
        <v>Year 2025</v>
      </c>
      <c r="C50" s="793"/>
      <c r="D50" s="803">
        <f t="shared" si="7"/>
        <v>59767.031971696699</v>
      </c>
      <c r="E50" s="803"/>
      <c r="F50" s="1517">
        <f t="shared" si="8"/>
        <v>6.4749999999999981E-3</v>
      </c>
      <c r="G50" s="793"/>
      <c r="H50" s="820">
        <f t="shared" si="9"/>
        <v>-386.99153201673602</v>
      </c>
      <c r="I50" s="817">
        <f t="shared" si="10"/>
        <v>60154.023503713244</v>
      </c>
      <c r="J50" s="817"/>
      <c r="K50" s="817">
        <f t="shared" si="6"/>
        <v>-1.8917489796876907E-10</v>
      </c>
    </row>
    <row r="51" spans="1:11" ht="15.75">
      <c r="A51" s="793"/>
      <c r="B51" s="793"/>
      <c r="C51" s="793"/>
      <c r="D51" s="803"/>
      <c r="E51" s="803"/>
      <c r="F51" s="818"/>
      <c r="G51" s="793"/>
      <c r="H51" s="817">
        <f>SUM(H39:H50)</f>
        <v>-29484.620195255477</v>
      </c>
      <c r="I51" s="817"/>
      <c r="J51" s="817"/>
      <c r="K51" s="817"/>
    </row>
    <row r="52" spans="1:11" ht="15">
      <c r="A52" s="533"/>
      <c r="B52" s="533"/>
      <c r="C52" s="533"/>
      <c r="D52" s="533"/>
      <c r="E52" s="533"/>
      <c r="F52" s="533"/>
      <c r="G52" s="533"/>
      <c r="H52" s="533"/>
      <c r="I52" s="825"/>
      <c r="J52" s="533"/>
      <c r="K52" s="533"/>
    </row>
    <row r="53" spans="1:11" ht="15.75">
      <c r="A53" s="793" t="s">
        <v>571</v>
      </c>
      <c r="B53" s="533"/>
      <c r="C53" s="533"/>
      <c r="D53" s="533"/>
      <c r="E53" s="533"/>
      <c r="F53" s="533"/>
      <c r="G53" s="533"/>
      <c r="H53" s="533"/>
      <c r="I53" s="826">
        <f>(SUM(I39:I50)*-1)</f>
        <v>-721848.28204455879</v>
      </c>
      <c r="J53" s="533"/>
      <c r="K53" s="533"/>
    </row>
    <row r="54" spans="1:11" ht="15.75">
      <c r="A54" s="793" t="s">
        <v>567</v>
      </c>
      <c r="B54" s="533"/>
      <c r="C54" s="533"/>
      <c r="D54" s="533"/>
      <c r="E54" s="533"/>
      <c r="F54" s="533"/>
      <c r="G54" s="533"/>
      <c r="H54" s="533"/>
      <c r="I54" s="827">
        <f>+H10</f>
        <v>616498.74500653613</v>
      </c>
      <c r="J54" s="533"/>
      <c r="K54" s="533"/>
    </row>
    <row r="55" spans="1:11" ht="15.75">
      <c r="A55" s="793" t="s">
        <v>568</v>
      </c>
      <c r="B55" s="533"/>
      <c r="C55" s="533"/>
      <c r="D55" s="533"/>
      <c r="E55" s="533"/>
      <c r="F55" s="533"/>
      <c r="G55" s="533"/>
      <c r="H55" s="533"/>
      <c r="I55" s="826">
        <f>(I53+I54)</f>
        <v>-105349.53703802265</v>
      </c>
      <c r="J55" s="533"/>
      <c r="K55" s="533"/>
    </row>
    <row r="56" spans="1:11">
      <c r="A56" s="427"/>
      <c r="B56" s="427"/>
      <c r="C56" s="427"/>
      <c r="D56" s="427"/>
      <c r="E56" s="427"/>
      <c r="F56" s="427"/>
      <c r="G56" s="427"/>
      <c r="H56" s="427"/>
      <c r="I56" s="427"/>
      <c r="J56" s="427"/>
      <c r="K56" s="427"/>
    </row>
    <row r="57" spans="1:11" ht="59.45" customHeight="1">
      <c r="A57" s="1660" t="s">
        <v>572</v>
      </c>
      <c r="B57" s="1660"/>
      <c r="C57" s="1660"/>
      <c r="D57" s="1660"/>
      <c r="E57" s="828"/>
      <c r="F57" s="828"/>
      <c r="G57" s="828"/>
      <c r="H57" s="828"/>
      <c r="I57" s="828"/>
      <c r="J57" s="828"/>
      <c r="K57" s="828"/>
    </row>
  </sheetData>
  <mergeCells count="5">
    <mergeCell ref="A1:K1"/>
    <mergeCell ref="A2:K2"/>
    <mergeCell ref="A3:K3"/>
    <mergeCell ref="D4:G4"/>
    <mergeCell ref="A57:D57"/>
  </mergeCells>
  <pageMargins left="0.7" right="0.7" top="0.75" bottom="0.75" header="0.3" footer="0.3"/>
  <pageSetup scale="5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K57"/>
  <sheetViews>
    <sheetView view="pageBreakPreview" topLeftCell="A8" zoomScale="60" zoomScaleNormal="100" workbookViewId="0">
      <selection activeCell="F21" sqref="F21:F50"/>
    </sheetView>
  </sheetViews>
  <sheetFormatPr defaultRowHeight="12.75"/>
  <cols>
    <col min="1" max="1" width="28.140625" customWidth="1"/>
    <col min="3" max="3" width="10.7109375" customWidth="1"/>
    <col min="4" max="4" width="25.85546875" customWidth="1"/>
    <col min="6" max="6" width="12.28515625" customWidth="1"/>
    <col min="8" max="8" width="15.42578125" customWidth="1"/>
    <col min="9" max="9" width="13.140625" customWidth="1"/>
    <col min="11" max="11" width="15" customWidth="1"/>
  </cols>
  <sheetData>
    <row r="1" spans="1:11" ht="15.75">
      <c r="A1" s="1658" t="s">
        <v>388</v>
      </c>
      <c r="B1" s="1658"/>
      <c r="C1" s="1658"/>
      <c r="D1" s="1658"/>
      <c r="E1" s="1658"/>
      <c r="F1" s="1658"/>
      <c r="G1" s="1658"/>
      <c r="H1" s="1658"/>
      <c r="I1" s="1658"/>
      <c r="J1" s="1658"/>
      <c r="K1" s="1658"/>
    </row>
    <row r="2" spans="1:11" ht="15.75">
      <c r="A2" s="1659" t="s">
        <v>569</v>
      </c>
      <c r="B2" s="1659"/>
      <c r="C2" s="1659"/>
      <c r="D2" s="1659"/>
      <c r="E2" s="1659"/>
      <c r="F2" s="1659"/>
      <c r="G2" s="1659"/>
      <c r="H2" s="1659"/>
      <c r="I2" s="1659"/>
      <c r="J2" s="1659"/>
      <c r="K2" s="1659"/>
    </row>
    <row r="3" spans="1:11" ht="15.75">
      <c r="A3" s="1659" t="s">
        <v>570</v>
      </c>
      <c r="B3" s="1659"/>
      <c r="C3" s="1659"/>
      <c r="D3" s="1659"/>
      <c r="E3" s="1659"/>
      <c r="F3" s="1659"/>
      <c r="G3" s="1659"/>
      <c r="H3" s="1659"/>
      <c r="I3" s="1659"/>
      <c r="J3" s="1659"/>
      <c r="K3" s="1659"/>
    </row>
    <row r="4" spans="1:11" ht="15.75">
      <c r="A4" s="533"/>
      <c r="B4" s="533"/>
      <c r="C4" s="533"/>
      <c r="D4" s="1659"/>
      <c r="E4" s="1659"/>
      <c r="F4" s="1659"/>
      <c r="G4" s="1659"/>
      <c r="H4" s="533"/>
      <c r="I4" s="533"/>
      <c r="J4" s="533"/>
      <c r="K4" s="533"/>
    </row>
    <row r="5" spans="1:11">
      <c r="A5" s="427"/>
      <c r="B5" s="427"/>
      <c r="C5" s="427"/>
      <c r="D5" s="427"/>
      <c r="E5" s="427"/>
      <c r="F5" s="427"/>
      <c r="G5" s="427"/>
      <c r="H5" s="427"/>
      <c r="I5" s="427"/>
      <c r="J5" s="427"/>
      <c r="K5" s="427"/>
    </row>
    <row r="6" spans="1:11">
      <c r="A6" s="427"/>
      <c r="B6" s="427"/>
      <c r="C6" s="427"/>
      <c r="D6" s="427"/>
      <c r="E6" s="427"/>
      <c r="F6" s="427"/>
      <c r="G6" s="427"/>
      <c r="H6" s="427"/>
      <c r="I6" s="427"/>
      <c r="J6" s="427"/>
      <c r="K6" s="427"/>
    </row>
    <row r="7" spans="1:11" ht="16.5" thickBot="1">
      <c r="A7" s="792"/>
      <c r="B7" s="793"/>
      <c r="C7" s="793"/>
      <c r="D7" s="793"/>
      <c r="E7" s="793"/>
      <c r="F7" s="793"/>
      <c r="G7" s="793"/>
      <c r="H7" s="793"/>
      <c r="I7" s="793"/>
      <c r="J7" s="793"/>
      <c r="K7" s="793"/>
    </row>
    <row r="8" spans="1:11" ht="63">
      <c r="A8" s="794" t="str">
        <f>'WSQ NSPL'!A8</f>
        <v>Reconciliation Revenue Requirement For Year 2023 Available May 25, 2024</v>
      </c>
      <c r="B8" s="793"/>
      <c r="C8" s="793"/>
      <c r="D8" s="794" t="s">
        <v>1164</v>
      </c>
      <c r="E8" s="793"/>
      <c r="F8" s="793"/>
      <c r="G8" s="533"/>
      <c r="H8" s="794" t="s">
        <v>550</v>
      </c>
      <c r="I8" s="533"/>
      <c r="J8" s="533"/>
      <c r="K8" s="533"/>
    </row>
    <row r="9" spans="1:11" ht="15.75">
      <c r="A9" s="795" t="s">
        <v>115</v>
      </c>
      <c r="B9" s="793"/>
      <c r="C9" s="793"/>
      <c r="D9" s="795"/>
      <c r="E9" s="793"/>
      <c r="F9" s="793"/>
      <c r="G9" s="533"/>
      <c r="H9" s="796"/>
      <c r="I9" s="533"/>
      <c r="J9" s="533"/>
      <c r="K9" s="533"/>
    </row>
    <row r="10" spans="1:11" ht="16.5" thickBot="1">
      <c r="A10" s="881">
        <v>234076.56954431022</v>
      </c>
      <c r="B10" s="797" t="str">
        <f>"-"</f>
        <v>-</v>
      </c>
      <c r="C10" s="798"/>
      <c r="D10" s="881">
        <v>490494.8858034545</v>
      </c>
      <c r="E10" s="799"/>
      <c r="F10" s="800" t="str">
        <f>"="</f>
        <v>=</v>
      </c>
      <c r="G10" s="801"/>
      <c r="H10" s="802">
        <f>IF(A10=0,0,D10-A10)</f>
        <v>256418.31625914428</v>
      </c>
      <c r="I10" s="533"/>
      <c r="J10" s="533"/>
      <c r="K10" s="533"/>
    </row>
    <row r="11" spans="1:11" ht="15.75">
      <c r="A11" s="803"/>
      <c r="B11" s="804"/>
      <c r="C11" s="804"/>
      <c r="D11" s="803"/>
      <c r="E11" s="803"/>
      <c r="F11" s="804"/>
      <c r="G11" s="803"/>
      <c r="H11" s="533"/>
      <c r="I11" s="533"/>
      <c r="J11" s="533"/>
      <c r="K11" s="533"/>
    </row>
    <row r="12" spans="1:11" ht="16.5" thickBot="1">
      <c r="A12" s="805"/>
      <c r="B12" s="806"/>
      <c r="C12" s="806"/>
      <c r="D12" s="805"/>
      <c r="E12" s="805"/>
      <c r="F12" s="806"/>
      <c r="G12" s="805"/>
      <c r="H12" s="807"/>
      <c r="I12" s="807"/>
      <c r="J12" s="807"/>
      <c r="K12" s="807"/>
    </row>
    <row r="13" spans="1:11" ht="15.75">
      <c r="A13" s="808"/>
      <c r="B13" s="804"/>
      <c r="C13" s="804"/>
      <c r="D13" s="803"/>
      <c r="E13" s="803"/>
      <c r="F13" s="804"/>
      <c r="G13" s="803"/>
      <c r="H13" s="533"/>
      <c r="I13" s="533"/>
      <c r="J13" s="533"/>
      <c r="K13" s="533"/>
    </row>
    <row r="14" spans="1:11" ht="47.25">
      <c r="A14" s="809" t="s">
        <v>551</v>
      </c>
      <c r="B14" s="804"/>
      <c r="C14" s="804"/>
      <c r="D14" s="810" t="s">
        <v>552</v>
      </c>
      <c r="E14" s="803"/>
      <c r="F14" s="810" t="s">
        <v>553</v>
      </c>
      <c r="G14" s="811" t="s">
        <v>554</v>
      </c>
      <c r="H14" s="812" t="s">
        <v>555</v>
      </c>
      <c r="I14" s="810" t="s">
        <v>556</v>
      </c>
      <c r="J14" s="813"/>
      <c r="K14" s="810" t="s">
        <v>557</v>
      </c>
    </row>
    <row r="15" spans="1:11" ht="15.75">
      <c r="A15" s="809" t="s">
        <v>558</v>
      </c>
      <c r="B15" s="804"/>
      <c r="C15" s="804"/>
      <c r="D15" s="533"/>
      <c r="E15" s="814"/>
      <c r="F15" s="882">
        <v>6.4749999999999981E-3</v>
      </c>
      <c r="G15" s="345"/>
      <c r="H15" s="533"/>
      <c r="I15" s="533"/>
      <c r="J15" s="533"/>
      <c r="K15" s="533"/>
    </row>
    <row r="16" spans="1:11" ht="15.75">
      <c r="A16" s="809"/>
      <c r="B16" s="804"/>
      <c r="C16" s="804"/>
      <c r="D16" s="533"/>
      <c r="E16" s="814"/>
      <c r="F16" s="814"/>
      <c r="G16" s="803"/>
      <c r="H16" s="533"/>
      <c r="I16" s="533"/>
      <c r="J16" s="533"/>
      <c r="K16" s="533"/>
    </row>
    <row r="17" spans="1:11" ht="15.75">
      <c r="A17" s="809" t="str">
        <f>'WSQ NSPL'!A17</f>
        <v>An over or under collection will be recovered prorata over 2023, held for 2024 and returned prorate over 2025</v>
      </c>
      <c r="B17" s="804"/>
      <c r="C17" s="804"/>
      <c r="D17" s="533"/>
      <c r="E17" s="814"/>
      <c r="F17" s="814"/>
      <c r="G17" s="803"/>
      <c r="H17" s="533"/>
      <c r="I17" s="533"/>
      <c r="J17" s="533"/>
      <c r="K17" s="533"/>
    </row>
    <row r="18" spans="1:11" ht="15.75">
      <c r="A18" s="815" t="s">
        <v>115</v>
      </c>
      <c r="B18" s="804"/>
      <c r="C18" s="804"/>
      <c r="D18" s="804"/>
      <c r="E18" s="804"/>
      <c r="F18" s="1516" t="s">
        <v>115</v>
      </c>
      <c r="G18" s="533"/>
      <c r="H18" s="533"/>
      <c r="I18" s="533"/>
      <c r="J18" s="533"/>
      <c r="K18" s="533"/>
    </row>
    <row r="19" spans="1:11" ht="15.75">
      <c r="A19" s="816"/>
      <c r="B19" s="804"/>
      <c r="C19" s="804"/>
      <c r="D19" s="804"/>
      <c r="E19" s="804"/>
      <c r="F19" s="2"/>
      <c r="G19" s="533"/>
      <c r="H19" s="811"/>
      <c r="I19" s="804"/>
      <c r="J19" s="804"/>
      <c r="K19" s="804"/>
    </row>
    <row r="20" spans="1:11" ht="15.75">
      <c r="A20" s="816" t="s">
        <v>559</v>
      </c>
      <c r="B20" s="804"/>
      <c r="C20" s="804"/>
      <c r="D20" s="804"/>
      <c r="E20" s="804"/>
      <c r="F20" s="2"/>
      <c r="G20" s="533"/>
      <c r="H20" s="811" t="s">
        <v>560</v>
      </c>
      <c r="I20" s="804"/>
      <c r="J20" s="804"/>
      <c r="K20" s="804"/>
    </row>
    <row r="21" spans="1:11" ht="15.75">
      <c r="A21" s="793" t="s">
        <v>186</v>
      </c>
      <c r="B21" s="1341" t="str">
        <f>"Year "&amp;TCOS!L4-2</f>
        <v>Year 2023</v>
      </c>
      <c r="C21" s="793"/>
      <c r="D21" s="817">
        <f>H10/12</f>
        <v>21368.193021595358</v>
      </c>
      <c r="E21" s="817"/>
      <c r="F21" s="1517">
        <f>F15</f>
        <v>6.4749999999999981E-3</v>
      </c>
      <c r="G21" s="1249">
        <v>12</v>
      </c>
      <c r="H21" s="817">
        <f>F21*D21*G21*-1</f>
        <v>-1660.308597777959</v>
      </c>
      <c r="I21" s="817"/>
      <c r="J21" s="817"/>
      <c r="K21" s="817">
        <f>(-H21+D21)*-1</f>
        <v>-23028.501619373317</v>
      </c>
    </row>
    <row r="22" spans="1:11" ht="15.75">
      <c r="A22" s="793" t="s">
        <v>561</v>
      </c>
      <c r="B22" s="1341" t="str">
        <f>B21</f>
        <v>Year 2023</v>
      </c>
      <c r="C22" s="793"/>
      <c r="D22" s="817">
        <f>+D21</f>
        <v>21368.193021595358</v>
      </c>
      <c r="E22" s="817"/>
      <c r="F22" s="1517">
        <f>+F21</f>
        <v>6.4749999999999981E-3</v>
      </c>
      <c r="G22" s="1249">
        <f t="shared" ref="G22:G32" si="0">+G21-1</f>
        <v>11</v>
      </c>
      <c r="H22" s="817">
        <f t="shared" ref="H22:H32" si="1">F22*D22*G22*-1</f>
        <v>-1521.9495479631291</v>
      </c>
      <c r="I22" s="817"/>
      <c r="J22" s="817"/>
      <c r="K22" s="817">
        <f t="shared" ref="K22:K32" si="2">(-H22+D22)*-1</f>
        <v>-22890.142569558488</v>
      </c>
    </row>
    <row r="23" spans="1:11" ht="15.75">
      <c r="A23" s="793" t="s">
        <v>187</v>
      </c>
      <c r="B23" s="1341" t="str">
        <f t="shared" ref="B23:B32" si="3">B22</f>
        <v>Year 2023</v>
      </c>
      <c r="C23" s="793"/>
      <c r="D23" s="817">
        <f t="shared" ref="D23:D32" si="4">+D22</f>
        <v>21368.193021595358</v>
      </c>
      <c r="E23" s="817"/>
      <c r="F23" s="1517">
        <f t="shared" ref="F23:F32" si="5">+F22</f>
        <v>6.4749999999999981E-3</v>
      </c>
      <c r="G23" s="1249">
        <f t="shared" si="0"/>
        <v>10</v>
      </c>
      <c r="H23" s="817">
        <f t="shared" si="1"/>
        <v>-1383.590498148299</v>
      </c>
      <c r="I23" s="817"/>
      <c r="J23" s="817"/>
      <c r="K23" s="817">
        <f t="shared" si="2"/>
        <v>-22751.783519743658</v>
      </c>
    </row>
    <row r="24" spans="1:11" ht="15.75">
      <c r="A24" s="793" t="s">
        <v>188</v>
      </c>
      <c r="B24" s="1341" t="str">
        <f t="shared" si="3"/>
        <v>Year 2023</v>
      </c>
      <c r="C24" s="793"/>
      <c r="D24" s="817">
        <f t="shared" si="4"/>
        <v>21368.193021595358</v>
      </c>
      <c r="E24" s="817"/>
      <c r="F24" s="1517">
        <f t="shared" si="5"/>
        <v>6.4749999999999981E-3</v>
      </c>
      <c r="G24" s="1249">
        <f t="shared" si="0"/>
        <v>9</v>
      </c>
      <c r="H24" s="817">
        <f t="shared" si="1"/>
        <v>-1245.2314483334692</v>
      </c>
      <c r="I24" s="817"/>
      <c r="J24" s="817"/>
      <c r="K24" s="817">
        <f t="shared" si="2"/>
        <v>-22613.424469928828</v>
      </c>
    </row>
    <row r="25" spans="1:11" ht="15.75">
      <c r="A25" s="793" t="s">
        <v>189</v>
      </c>
      <c r="B25" s="1341" t="str">
        <f t="shared" si="3"/>
        <v>Year 2023</v>
      </c>
      <c r="C25" s="793"/>
      <c r="D25" s="817">
        <f t="shared" si="4"/>
        <v>21368.193021595358</v>
      </c>
      <c r="E25" s="817"/>
      <c r="F25" s="1517">
        <f t="shared" si="5"/>
        <v>6.4749999999999981E-3</v>
      </c>
      <c r="G25" s="1249">
        <f t="shared" si="0"/>
        <v>8</v>
      </c>
      <c r="H25" s="817">
        <f t="shared" si="1"/>
        <v>-1106.8723985186393</v>
      </c>
      <c r="I25" s="817"/>
      <c r="J25" s="817"/>
      <c r="K25" s="817">
        <f t="shared" si="2"/>
        <v>-22475.065420113999</v>
      </c>
    </row>
    <row r="26" spans="1:11" ht="15.75">
      <c r="A26" s="793" t="s">
        <v>383</v>
      </c>
      <c r="B26" s="1341" t="str">
        <f t="shared" si="3"/>
        <v>Year 2023</v>
      </c>
      <c r="C26" s="793"/>
      <c r="D26" s="817">
        <f t="shared" si="4"/>
        <v>21368.193021595358</v>
      </c>
      <c r="E26" s="817"/>
      <c r="F26" s="1517">
        <f t="shared" si="5"/>
        <v>6.4749999999999981E-3</v>
      </c>
      <c r="G26" s="1249">
        <f t="shared" si="0"/>
        <v>7</v>
      </c>
      <c r="H26" s="817">
        <f t="shared" si="1"/>
        <v>-968.51334870380947</v>
      </c>
      <c r="I26" s="817"/>
      <c r="J26" s="817"/>
      <c r="K26" s="817">
        <f t="shared" si="2"/>
        <v>-22336.706370299169</v>
      </c>
    </row>
    <row r="27" spans="1:11" ht="15.75">
      <c r="A27" s="793" t="s">
        <v>190</v>
      </c>
      <c r="B27" s="1341" t="str">
        <f t="shared" si="3"/>
        <v>Year 2023</v>
      </c>
      <c r="C27" s="793"/>
      <c r="D27" s="817">
        <f t="shared" si="4"/>
        <v>21368.193021595358</v>
      </c>
      <c r="E27" s="817"/>
      <c r="F27" s="1517">
        <f t="shared" si="5"/>
        <v>6.4749999999999981E-3</v>
      </c>
      <c r="G27" s="1249">
        <f t="shared" si="0"/>
        <v>6</v>
      </c>
      <c r="H27" s="817">
        <f t="shared" si="1"/>
        <v>-830.1542988889795</v>
      </c>
      <c r="I27" s="817"/>
      <c r="J27" s="817"/>
      <c r="K27" s="817">
        <f t="shared" si="2"/>
        <v>-22198.347320484336</v>
      </c>
    </row>
    <row r="28" spans="1:11" ht="15.75">
      <c r="A28" s="793" t="s">
        <v>191</v>
      </c>
      <c r="B28" s="1341" t="str">
        <f t="shared" si="3"/>
        <v>Year 2023</v>
      </c>
      <c r="C28" s="793"/>
      <c r="D28" s="817">
        <f t="shared" si="4"/>
        <v>21368.193021595358</v>
      </c>
      <c r="E28" s="817"/>
      <c r="F28" s="1517">
        <f t="shared" si="5"/>
        <v>6.4749999999999981E-3</v>
      </c>
      <c r="G28" s="1249">
        <f t="shared" si="0"/>
        <v>5</v>
      </c>
      <c r="H28" s="817">
        <f t="shared" si="1"/>
        <v>-691.79524907414952</v>
      </c>
      <c r="I28" s="817"/>
      <c r="J28" s="817"/>
      <c r="K28" s="817">
        <f t="shared" si="2"/>
        <v>-22059.988270669506</v>
      </c>
    </row>
    <row r="29" spans="1:11" ht="15.75">
      <c r="A29" s="793" t="s">
        <v>193</v>
      </c>
      <c r="B29" s="1341" t="str">
        <f t="shared" si="3"/>
        <v>Year 2023</v>
      </c>
      <c r="C29" s="793"/>
      <c r="D29" s="817">
        <f t="shared" si="4"/>
        <v>21368.193021595358</v>
      </c>
      <c r="E29" s="817"/>
      <c r="F29" s="1517">
        <f t="shared" si="5"/>
        <v>6.4749999999999981E-3</v>
      </c>
      <c r="G29" s="1249">
        <f t="shared" si="0"/>
        <v>4</v>
      </c>
      <c r="H29" s="817">
        <f t="shared" si="1"/>
        <v>-553.43619925931966</v>
      </c>
      <c r="I29" s="817"/>
      <c r="J29" s="817"/>
      <c r="K29" s="817">
        <f t="shared" si="2"/>
        <v>-21921.629220854677</v>
      </c>
    </row>
    <row r="30" spans="1:11" ht="15.75">
      <c r="A30" s="793" t="s">
        <v>562</v>
      </c>
      <c r="B30" s="1341" t="str">
        <f t="shared" si="3"/>
        <v>Year 2023</v>
      </c>
      <c r="C30" s="793"/>
      <c r="D30" s="817">
        <f t="shared" si="4"/>
        <v>21368.193021595358</v>
      </c>
      <c r="E30" s="817"/>
      <c r="F30" s="1517">
        <f t="shared" si="5"/>
        <v>6.4749999999999981E-3</v>
      </c>
      <c r="G30" s="1249">
        <f t="shared" si="0"/>
        <v>3</v>
      </c>
      <c r="H30" s="817">
        <f t="shared" si="1"/>
        <v>-415.07714944448975</v>
      </c>
      <c r="I30" s="817"/>
      <c r="J30" s="817"/>
      <c r="K30" s="817">
        <f t="shared" si="2"/>
        <v>-21783.270171039847</v>
      </c>
    </row>
    <row r="31" spans="1:11" ht="15.75">
      <c r="A31" s="793" t="s">
        <v>563</v>
      </c>
      <c r="B31" s="1341" t="str">
        <f t="shared" si="3"/>
        <v>Year 2023</v>
      </c>
      <c r="C31" s="793"/>
      <c r="D31" s="817">
        <f t="shared" si="4"/>
        <v>21368.193021595358</v>
      </c>
      <c r="E31" s="817"/>
      <c r="F31" s="1517">
        <f t="shared" si="5"/>
        <v>6.4749999999999981E-3</v>
      </c>
      <c r="G31" s="1249">
        <f t="shared" si="0"/>
        <v>2</v>
      </c>
      <c r="H31" s="817">
        <f t="shared" si="1"/>
        <v>-276.71809962965983</v>
      </c>
      <c r="I31" s="817"/>
      <c r="J31" s="817"/>
      <c r="K31" s="817">
        <f t="shared" si="2"/>
        <v>-21644.911121225017</v>
      </c>
    </row>
    <row r="32" spans="1:11" ht="15.75">
      <c r="A32" s="793" t="s">
        <v>192</v>
      </c>
      <c r="B32" s="1341" t="str">
        <f t="shared" si="3"/>
        <v>Year 2023</v>
      </c>
      <c r="C32" s="793"/>
      <c r="D32" s="817">
        <f t="shared" si="4"/>
        <v>21368.193021595358</v>
      </c>
      <c r="E32" s="817"/>
      <c r="F32" s="1517">
        <f t="shared" si="5"/>
        <v>6.4749999999999981E-3</v>
      </c>
      <c r="G32" s="1249">
        <f t="shared" si="0"/>
        <v>1</v>
      </c>
      <c r="H32" s="820">
        <f t="shared" si="1"/>
        <v>-138.35904981482992</v>
      </c>
      <c r="I32" s="817"/>
      <c r="J32" s="817"/>
      <c r="K32" s="817">
        <f t="shared" si="2"/>
        <v>-21506.552071410188</v>
      </c>
    </row>
    <row r="33" spans="1:11" ht="15.75">
      <c r="A33" s="793"/>
      <c r="B33" s="1341"/>
      <c r="C33" s="793"/>
      <c r="D33" s="817"/>
      <c r="E33" s="817"/>
      <c r="F33" s="1517"/>
      <c r="G33" s="804"/>
      <c r="H33" s="817">
        <f>SUM(H21:H32)</f>
        <v>-10792.005885556733</v>
      </c>
      <c r="I33" s="817"/>
      <c r="J33" s="817"/>
      <c r="K33" s="821">
        <f>SUM(K21:K32)</f>
        <v>-267210.32214470103</v>
      </c>
    </row>
    <row r="34" spans="1:11" ht="15.75">
      <c r="A34" s="793"/>
      <c r="B34" s="1341"/>
      <c r="C34" s="793"/>
      <c r="D34" s="817"/>
      <c r="E34" s="817"/>
      <c r="F34" s="1517"/>
      <c r="G34" s="804"/>
      <c r="H34" s="817"/>
      <c r="I34" s="817" t="s">
        <v>115</v>
      </c>
      <c r="J34" s="817"/>
      <c r="K34" s="533"/>
    </row>
    <row r="35" spans="1:11" ht="15.75">
      <c r="A35" s="793"/>
      <c r="B35" s="1341"/>
      <c r="C35" s="793"/>
      <c r="D35" s="803"/>
      <c r="E35" s="803"/>
      <c r="F35" s="1517"/>
      <c r="G35" s="804"/>
      <c r="H35" s="822" t="s">
        <v>564</v>
      </c>
      <c r="I35" s="817"/>
      <c r="J35" s="817"/>
      <c r="K35" s="817"/>
    </row>
    <row r="36" spans="1:11" ht="15.75">
      <c r="A36" s="793" t="s">
        <v>565</v>
      </c>
      <c r="B36" s="1341" t="str">
        <f>"Year "&amp;TCOS!L4-1</f>
        <v>Year 2024</v>
      </c>
      <c r="C36" s="793"/>
      <c r="D36" s="803">
        <f>K33</f>
        <v>-267210.32214470103</v>
      </c>
      <c r="E36" s="803"/>
      <c r="F36" s="1517">
        <f>F32</f>
        <v>6.4749999999999981E-3</v>
      </c>
      <c r="G36" s="819">
        <v>12</v>
      </c>
      <c r="H36" s="817">
        <f>+G36*F36*D36</f>
        <v>-20762.242030643265</v>
      </c>
      <c r="I36" s="817"/>
      <c r="J36" s="817"/>
      <c r="K36" s="821">
        <f>+D36+H36</f>
        <v>-287972.56417534431</v>
      </c>
    </row>
    <row r="37" spans="1:11" ht="15.75">
      <c r="A37" s="793"/>
      <c r="B37" s="1341"/>
      <c r="C37" s="793"/>
      <c r="D37" s="803"/>
      <c r="E37" s="803"/>
      <c r="F37" s="1517"/>
      <c r="G37" s="793"/>
      <c r="H37" s="817"/>
      <c r="I37" s="817"/>
      <c r="J37" s="817"/>
      <c r="K37" s="817"/>
    </row>
    <row r="38" spans="1:11" ht="15.75">
      <c r="A38" s="823" t="s">
        <v>566</v>
      </c>
      <c r="B38" s="1341"/>
      <c r="C38" s="793"/>
      <c r="D38" s="817"/>
      <c r="E38" s="817"/>
      <c r="F38" s="1517"/>
      <c r="G38" s="793"/>
      <c r="H38" s="822" t="s">
        <v>560</v>
      </c>
      <c r="I38" s="817"/>
      <c r="J38" s="817"/>
      <c r="K38" s="817"/>
    </row>
    <row r="39" spans="1:11" ht="15.75">
      <c r="A39" s="793" t="s">
        <v>186</v>
      </c>
      <c r="B39" s="1341" t="str">
        <f>"Year "&amp;TCOS!L4</f>
        <v>Year 2025</v>
      </c>
      <c r="C39" s="793"/>
      <c r="D39" s="824">
        <f>-K36</f>
        <v>287972.56417534431</v>
      </c>
      <c r="E39" s="803"/>
      <c r="F39" s="1517">
        <f>F15</f>
        <v>6.4749999999999981E-3</v>
      </c>
      <c r="G39" s="793"/>
      <c r="H39" s="817">
        <f xml:space="preserve"> -F39*D39</f>
        <v>-1864.6223530353539</v>
      </c>
      <c r="I39" s="817">
        <f>PMT(F39,12,K$36)</f>
        <v>25019.667189868505</v>
      </c>
      <c r="J39" s="817"/>
      <c r="K39" s="817">
        <f>(+D39+D39*F39-I39)*-1</f>
        <v>-264817.51933851116</v>
      </c>
    </row>
    <row r="40" spans="1:11" ht="15.75">
      <c r="A40" s="793" t="s">
        <v>561</v>
      </c>
      <c r="B40" s="1341" t="str">
        <f>+B39</f>
        <v>Year 2025</v>
      </c>
      <c r="C40" s="793"/>
      <c r="D40" s="803">
        <f>-K39</f>
        <v>264817.51933851116</v>
      </c>
      <c r="E40" s="803"/>
      <c r="F40" s="1517">
        <f>+F39</f>
        <v>6.4749999999999981E-3</v>
      </c>
      <c r="G40" s="793"/>
      <c r="H40" s="817">
        <f xml:space="preserve"> -F40*D40</f>
        <v>-1714.6934377168593</v>
      </c>
      <c r="I40" s="817">
        <f>I39</f>
        <v>25019.667189868505</v>
      </c>
      <c r="J40" s="817"/>
      <c r="K40" s="817">
        <f t="shared" ref="K40:K50" si="6">(+D40+D40*F40-I40)*-1</f>
        <v>-241512.54558635951</v>
      </c>
    </row>
    <row r="41" spans="1:11" ht="15.75">
      <c r="A41" s="793" t="s">
        <v>187</v>
      </c>
      <c r="B41" s="1341" t="str">
        <f>+B40</f>
        <v>Year 2025</v>
      </c>
      <c r="C41" s="793"/>
      <c r="D41" s="803">
        <f t="shared" ref="D41:D50" si="7">-K40</f>
        <v>241512.54558635951</v>
      </c>
      <c r="E41" s="803"/>
      <c r="F41" s="1517">
        <f t="shared" ref="F41:F50" si="8">+F40</f>
        <v>6.4749999999999981E-3</v>
      </c>
      <c r="G41" s="793"/>
      <c r="H41" s="817">
        <f t="shared" ref="H41:H50" si="9" xml:space="preserve"> -F41*D41</f>
        <v>-1563.7937326716774</v>
      </c>
      <c r="I41" s="817">
        <f t="shared" ref="I41:I50" si="10">I40</f>
        <v>25019.667189868505</v>
      </c>
      <c r="J41" s="817"/>
      <c r="K41" s="817">
        <f t="shared" si="6"/>
        <v>-218056.67212916267</v>
      </c>
    </row>
    <row r="42" spans="1:11" ht="15.75">
      <c r="A42" s="793" t="s">
        <v>188</v>
      </c>
      <c r="B42" s="1341" t="str">
        <f>+B41</f>
        <v>Year 2025</v>
      </c>
      <c r="C42" s="793"/>
      <c r="D42" s="803">
        <f t="shared" si="7"/>
        <v>218056.67212916267</v>
      </c>
      <c r="E42" s="803"/>
      <c r="F42" s="1517">
        <f t="shared" si="8"/>
        <v>6.4749999999999981E-3</v>
      </c>
      <c r="G42" s="793"/>
      <c r="H42" s="817">
        <f t="shared" si="9"/>
        <v>-1411.916952036328</v>
      </c>
      <c r="I42" s="817">
        <f t="shared" si="10"/>
        <v>25019.667189868505</v>
      </c>
      <c r="J42" s="817"/>
      <c r="K42" s="817">
        <f t="shared" si="6"/>
        <v>-194448.92189133048</v>
      </c>
    </row>
    <row r="43" spans="1:11" ht="15.75">
      <c r="A43" s="793" t="s">
        <v>189</v>
      </c>
      <c r="B43" s="1341" t="str">
        <f>+B42</f>
        <v>Year 2025</v>
      </c>
      <c r="C43" s="793"/>
      <c r="D43" s="803">
        <f t="shared" si="7"/>
        <v>194448.92189133048</v>
      </c>
      <c r="E43" s="803"/>
      <c r="F43" s="1517">
        <f t="shared" si="8"/>
        <v>6.4749999999999981E-3</v>
      </c>
      <c r="G43" s="793"/>
      <c r="H43" s="817">
        <f t="shared" si="9"/>
        <v>-1259.0567692463644</v>
      </c>
      <c r="I43" s="817">
        <f>I42</f>
        <v>25019.667189868505</v>
      </c>
      <c r="J43" s="817"/>
      <c r="K43" s="817">
        <f t="shared" si="6"/>
        <v>-170688.31147070832</v>
      </c>
    </row>
    <row r="44" spans="1:11" ht="15.75">
      <c r="A44" s="793" t="s">
        <v>383</v>
      </c>
      <c r="B44" s="1341" t="str">
        <f>B43</f>
        <v>Year 2025</v>
      </c>
      <c r="C44" s="533"/>
      <c r="D44" s="803">
        <f t="shared" si="7"/>
        <v>170688.31147070832</v>
      </c>
      <c r="E44" s="803"/>
      <c r="F44" s="1517">
        <f t="shared" si="8"/>
        <v>6.4749999999999981E-3</v>
      </c>
      <c r="G44" s="793"/>
      <c r="H44" s="817">
        <f t="shared" si="9"/>
        <v>-1105.206816772836</v>
      </c>
      <c r="I44" s="817">
        <f t="shared" si="10"/>
        <v>25019.667189868505</v>
      </c>
      <c r="J44" s="817"/>
      <c r="K44" s="817">
        <f t="shared" si="6"/>
        <v>-146773.85109761264</v>
      </c>
    </row>
    <row r="45" spans="1:11" ht="15.75">
      <c r="A45" s="793" t="s">
        <v>190</v>
      </c>
      <c r="B45" s="1341" t="str">
        <f t="shared" ref="B45:B50" si="11">+B44</f>
        <v>Year 2025</v>
      </c>
      <c r="C45" s="793"/>
      <c r="D45" s="803">
        <f t="shared" si="7"/>
        <v>146773.85109761264</v>
      </c>
      <c r="E45" s="803"/>
      <c r="F45" s="1517">
        <f t="shared" si="8"/>
        <v>6.4749999999999981E-3</v>
      </c>
      <c r="G45" s="793"/>
      <c r="H45" s="817">
        <f t="shared" si="9"/>
        <v>-950.36068585704163</v>
      </c>
      <c r="I45" s="817">
        <f t="shared" si="10"/>
        <v>25019.667189868505</v>
      </c>
      <c r="J45" s="817"/>
      <c r="K45" s="817">
        <f t="shared" si="6"/>
        <v>-122704.54459360118</v>
      </c>
    </row>
    <row r="46" spans="1:11" ht="15.75">
      <c r="A46" s="793" t="s">
        <v>191</v>
      </c>
      <c r="B46" s="1341" t="str">
        <f t="shared" si="11"/>
        <v>Year 2025</v>
      </c>
      <c r="C46" s="793"/>
      <c r="D46" s="803">
        <f t="shared" si="7"/>
        <v>122704.54459360118</v>
      </c>
      <c r="E46" s="803"/>
      <c r="F46" s="1517">
        <f t="shared" si="8"/>
        <v>6.4749999999999981E-3</v>
      </c>
      <c r="G46" s="793"/>
      <c r="H46" s="817">
        <f t="shared" si="9"/>
        <v>-794.51192624356747</v>
      </c>
      <c r="I46" s="817">
        <f t="shared" si="10"/>
        <v>25019.667189868505</v>
      </c>
      <c r="J46" s="817"/>
      <c r="K46" s="817">
        <f t="shared" si="6"/>
        <v>-98479.389329976242</v>
      </c>
    </row>
    <row r="47" spans="1:11" ht="15.75">
      <c r="A47" s="793" t="s">
        <v>193</v>
      </c>
      <c r="B47" s="1341" t="str">
        <f t="shared" si="11"/>
        <v>Year 2025</v>
      </c>
      <c r="C47" s="793"/>
      <c r="D47" s="803">
        <f t="shared" si="7"/>
        <v>98479.389329976242</v>
      </c>
      <c r="E47" s="803"/>
      <c r="F47" s="1517">
        <f t="shared" si="8"/>
        <v>6.4749999999999981E-3</v>
      </c>
      <c r="G47" s="793"/>
      <c r="H47" s="817">
        <f t="shared" si="9"/>
        <v>-637.65404591159597</v>
      </c>
      <c r="I47" s="817">
        <f>I46</f>
        <v>25019.667189868505</v>
      </c>
      <c r="J47" s="817"/>
      <c r="K47" s="817">
        <f t="shared" si="6"/>
        <v>-74097.376186019334</v>
      </c>
    </row>
    <row r="48" spans="1:11" ht="15.75">
      <c r="A48" s="793" t="s">
        <v>562</v>
      </c>
      <c r="B48" s="1341" t="str">
        <f t="shared" si="11"/>
        <v>Year 2025</v>
      </c>
      <c r="C48" s="793"/>
      <c r="D48" s="803">
        <f t="shared" si="7"/>
        <v>74097.376186019334</v>
      </c>
      <c r="E48" s="803"/>
      <c r="F48" s="1517">
        <f t="shared" si="8"/>
        <v>6.4749999999999981E-3</v>
      </c>
      <c r="G48" s="793"/>
      <c r="H48" s="817">
        <f t="shared" si="9"/>
        <v>-479.78051080447506</v>
      </c>
      <c r="I48" s="817">
        <f t="shared" si="10"/>
        <v>25019.667189868505</v>
      </c>
      <c r="J48" s="817"/>
      <c r="K48" s="817">
        <f t="shared" si="6"/>
        <v>-49557.489506955302</v>
      </c>
    </row>
    <row r="49" spans="1:11" ht="15.75">
      <c r="A49" s="793" t="s">
        <v>563</v>
      </c>
      <c r="B49" s="1341" t="str">
        <f t="shared" si="11"/>
        <v>Year 2025</v>
      </c>
      <c r="C49" s="793"/>
      <c r="D49" s="803">
        <f t="shared" si="7"/>
        <v>49557.489506955302</v>
      </c>
      <c r="E49" s="803"/>
      <c r="F49" s="1517">
        <f t="shared" si="8"/>
        <v>6.4749999999999981E-3</v>
      </c>
      <c r="G49" s="793"/>
      <c r="H49" s="817">
        <f t="shared" si="9"/>
        <v>-320.8847445575355</v>
      </c>
      <c r="I49" s="817">
        <f t="shared" si="10"/>
        <v>25019.667189868505</v>
      </c>
      <c r="J49" s="817"/>
      <c r="K49" s="817">
        <f t="shared" si="6"/>
        <v>-24858.707061644334</v>
      </c>
    </row>
    <row r="50" spans="1:11" ht="15.75">
      <c r="A50" s="793" t="s">
        <v>192</v>
      </c>
      <c r="B50" s="1341" t="str">
        <f t="shared" si="11"/>
        <v>Year 2025</v>
      </c>
      <c r="C50" s="793"/>
      <c r="D50" s="803">
        <f t="shared" si="7"/>
        <v>24858.707061644334</v>
      </c>
      <c r="E50" s="803"/>
      <c r="F50" s="1517">
        <f t="shared" si="8"/>
        <v>6.4749999999999981E-3</v>
      </c>
      <c r="G50" s="793"/>
      <c r="H50" s="820">
        <f t="shared" si="9"/>
        <v>-160.96012822414701</v>
      </c>
      <c r="I50" s="817">
        <f t="shared" si="10"/>
        <v>25019.667189868505</v>
      </c>
      <c r="J50" s="817"/>
      <c r="K50" s="817">
        <f t="shared" si="6"/>
        <v>2.5465851649641991E-11</v>
      </c>
    </row>
    <row r="51" spans="1:11" ht="15.75">
      <c r="A51" s="793"/>
      <c r="B51" s="793"/>
      <c r="C51" s="793"/>
      <c r="D51" s="803"/>
      <c r="E51" s="803"/>
      <c r="F51" s="818"/>
      <c r="G51" s="793"/>
      <c r="H51" s="817">
        <f>SUM(H39:H50)</f>
        <v>-12263.442103077785</v>
      </c>
      <c r="I51" s="817"/>
      <c r="J51" s="817"/>
      <c r="K51" s="817"/>
    </row>
    <row r="52" spans="1:11" ht="15">
      <c r="A52" s="533"/>
      <c r="B52" s="533"/>
      <c r="C52" s="533"/>
      <c r="D52" s="533"/>
      <c r="E52" s="533"/>
      <c r="F52" s="533"/>
      <c r="G52" s="533"/>
      <c r="H52" s="533"/>
      <c r="I52" s="825"/>
      <c r="J52" s="533"/>
      <c r="K52" s="533"/>
    </row>
    <row r="53" spans="1:11" ht="15.75">
      <c r="A53" s="793" t="s">
        <v>571</v>
      </c>
      <c r="B53" s="533"/>
      <c r="C53" s="533"/>
      <c r="D53" s="533"/>
      <c r="E53" s="533"/>
      <c r="F53" s="533"/>
      <c r="G53" s="533"/>
      <c r="H53" s="533"/>
      <c r="I53" s="826">
        <f>(SUM(I39:I50)*-1)</f>
        <v>-300236.00627842214</v>
      </c>
      <c r="J53" s="533"/>
      <c r="K53" s="533"/>
    </row>
    <row r="54" spans="1:11" ht="15.75">
      <c r="A54" s="793" t="s">
        <v>567</v>
      </c>
      <c r="B54" s="533"/>
      <c r="C54" s="533"/>
      <c r="D54" s="533"/>
      <c r="E54" s="533"/>
      <c r="F54" s="533"/>
      <c r="G54" s="533"/>
      <c r="H54" s="533"/>
      <c r="I54" s="827">
        <f>+H10</f>
        <v>256418.31625914428</v>
      </c>
      <c r="J54" s="533"/>
      <c r="K54" s="533"/>
    </row>
    <row r="55" spans="1:11" ht="15.75">
      <c r="A55" s="793" t="s">
        <v>568</v>
      </c>
      <c r="B55" s="533"/>
      <c r="C55" s="533"/>
      <c r="D55" s="533"/>
      <c r="E55" s="533"/>
      <c r="F55" s="533"/>
      <c r="G55" s="533"/>
      <c r="H55" s="533"/>
      <c r="I55" s="826">
        <f>(I53+I54)</f>
        <v>-43817.690019277856</v>
      </c>
      <c r="J55" s="533"/>
      <c r="K55" s="533"/>
    </row>
    <row r="56" spans="1:11" ht="21" customHeight="1">
      <c r="A56" s="427"/>
      <c r="B56" s="427"/>
      <c r="C56" s="427"/>
      <c r="D56" s="427"/>
      <c r="E56" s="427"/>
      <c r="F56" s="427"/>
      <c r="G56" s="427"/>
      <c r="H56" s="427"/>
      <c r="I56" s="427"/>
      <c r="J56" s="427"/>
      <c r="K56" s="427"/>
    </row>
    <row r="57" spans="1:11" ht="74.45" customHeight="1">
      <c r="A57" s="1660" t="s">
        <v>572</v>
      </c>
      <c r="B57" s="1660"/>
      <c r="C57" s="1660"/>
      <c r="D57" s="1660"/>
      <c r="E57" s="828"/>
      <c r="F57" s="828"/>
      <c r="G57" s="828"/>
      <c r="H57" s="828"/>
      <c r="I57" s="828"/>
      <c r="J57" s="828"/>
      <c r="K57" s="828"/>
    </row>
  </sheetData>
  <mergeCells count="5">
    <mergeCell ref="A1:K1"/>
    <mergeCell ref="A2:K2"/>
    <mergeCell ref="A3:K3"/>
    <mergeCell ref="D4:G4"/>
    <mergeCell ref="A57:D57"/>
  </mergeCells>
  <pageMargins left="0.7" right="0.7" top="0.75" bottom="0.75" header="0.3" footer="0.3"/>
  <pageSetup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197"/>
  <sheetViews>
    <sheetView view="pageBreakPreview" topLeftCell="A13" zoomScale="60" zoomScaleNormal="50" workbookViewId="0">
      <selection activeCell="C189" sqref="C189"/>
    </sheetView>
  </sheetViews>
  <sheetFormatPr defaultRowHeight="12.75"/>
  <cols>
    <col min="1" max="1" width="7.7109375" style="1" bestFit="1" customWidth="1"/>
    <col min="2" max="2" width="57.7109375" bestFit="1" customWidth="1"/>
    <col min="3" max="4" width="14.85546875" customWidth="1"/>
    <col min="5" max="6" width="14.28515625" customWidth="1"/>
    <col min="7" max="7" width="15.28515625" bestFit="1" customWidth="1"/>
    <col min="8" max="8" width="3.42578125" customWidth="1"/>
    <col min="9" max="9" width="13.140625" bestFit="1" customWidth="1"/>
    <col min="10" max="10" width="15" bestFit="1" customWidth="1"/>
    <col min="11" max="11" width="13.5703125" bestFit="1" customWidth="1"/>
    <col min="12" max="12" width="3.140625" customWidth="1"/>
    <col min="13" max="13" width="13.140625" bestFit="1" customWidth="1"/>
    <col min="14" max="14" width="15" bestFit="1" customWidth="1"/>
    <col min="15" max="15" width="13.5703125" bestFit="1" customWidth="1"/>
    <col min="16" max="16" width="3.140625" customWidth="1"/>
    <col min="17" max="17" width="13.140625" bestFit="1" customWidth="1"/>
    <col min="18" max="18" width="15" bestFit="1" customWidth="1"/>
    <col min="19" max="19" width="13.5703125" bestFit="1" customWidth="1"/>
  </cols>
  <sheetData>
    <row r="1" spans="1:19">
      <c r="A1" s="1041"/>
      <c r="B1" s="1108" t="str">
        <f>TCOS!F9</f>
        <v xml:space="preserve">Indiana Michigan Power Company </v>
      </c>
      <c r="C1" s="1021"/>
      <c r="D1" s="1021"/>
      <c r="E1" s="1021"/>
      <c r="F1" s="1021"/>
      <c r="G1" s="1022"/>
      <c r="H1" s="1022"/>
      <c r="I1" s="1022"/>
      <c r="J1" s="1022"/>
      <c r="K1" s="1022"/>
      <c r="L1" s="1022"/>
      <c r="M1" s="1021"/>
      <c r="N1" s="1021"/>
      <c r="O1" s="1021"/>
      <c r="P1" s="1021"/>
      <c r="Q1" s="1021"/>
      <c r="R1" s="1021"/>
      <c r="S1" s="1022"/>
    </row>
    <row r="2" spans="1:19">
      <c r="A2" s="1041"/>
      <c r="B2" s="1020" t="s">
        <v>810</v>
      </c>
      <c r="C2" s="1021"/>
      <c r="D2" s="1021"/>
      <c r="E2" s="1021"/>
      <c r="F2" s="1021"/>
      <c r="G2" s="1022"/>
      <c r="H2" s="1022"/>
      <c r="I2" s="1022"/>
      <c r="J2" s="1022"/>
      <c r="K2" s="1022"/>
      <c r="L2" s="1022"/>
      <c r="M2" s="1021"/>
      <c r="N2" s="1021"/>
      <c r="O2" s="1021"/>
      <c r="P2" s="1021"/>
      <c r="Q2" s="1021"/>
      <c r="R2" s="1021"/>
      <c r="S2" s="1022"/>
    </row>
    <row r="3" spans="1:19">
      <c r="A3" s="1041"/>
      <c r="B3" s="1063" t="str">
        <f>"PERIOD ENDED DECEMBER 31, "&amp;TCOS!L4</f>
        <v>PERIOD ENDED DECEMBER 31, 2025</v>
      </c>
      <c r="C3" s="1021"/>
      <c r="D3" s="1021"/>
      <c r="E3" s="1021"/>
      <c r="F3" s="1021"/>
      <c r="G3" s="1021"/>
      <c r="H3" s="1021"/>
      <c r="I3" s="1021"/>
      <c r="J3" s="1021"/>
      <c r="K3" s="1021"/>
      <c r="L3" s="1021"/>
      <c r="M3" s="1021"/>
      <c r="N3" s="1021"/>
      <c r="O3" s="1021"/>
      <c r="P3" s="1021"/>
      <c r="Q3" s="1021"/>
      <c r="R3" s="1021"/>
      <c r="S3" s="1021"/>
    </row>
    <row r="4" spans="1:19">
      <c r="A4" s="1041"/>
      <c r="B4" s="1021"/>
      <c r="C4" s="1021"/>
      <c r="D4" s="1021"/>
      <c r="E4" s="1021"/>
      <c r="F4" s="1021"/>
      <c r="G4" s="944" t="s">
        <v>688</v>
      </c>
      <c r="H4" s="944"/>
      <c r="I4" s="944"/>
      <c r="J4" s="944"/>
      <c r="K4" s="944"/>
      <c r="L4" s="944"/>
      <c r="M4" s="1021"/>
      <c r="N4" s="1021"/>
      <c r="O4" s="1021"/>
      <c r="P4" s="1021"/>
      <c r="Q4" s="1021"/>
      <c r="R4" s="1021"/>
      <c r="S4" s="1021"/>
    </row>
    <row r="5" spans="1:19">
      <c r="A5" s="1041"/>
      <c r="B5" s="1023"/>
      <c r="C5" s="1021"/>
      <c r="D5" s="1021"/>
      <c r="E5" s="1021"/>
      <c r="F5" s="1021"/>
      <c r="G5" s="1021"/>
      <c r="H5" s="1021"/>
      <c r="I5" s="1021"/>
      <c r="J5" s="1021"/>
      <c r="K5" s="1021"/>
      <c r="L5" s="1021"/>
      <c r="M5" s="1021"/>
      <c r="N5" s="1021"/>
      <c r="O5" s="1021"/>
      <c r="P5" s="1021"/>
      <c r="Q5" s="1021"/>
      <c r="R5" s="1021"/>
      <c r="S5" s="1021"/>
    </row>
    <row r="6" spans="1:19">
      <c r="A6" s="1041"/>
      <c r="B6" s="1021"/>
      <c r="C6" s="1021"/>
      <c r="D6" s="1021"/>
      <c r="E6" s="1021"/>
      <c r="F6" s="1021"/>
      <c r="G6" s="1021"/>
      <c r="H6" s="1021"/>
      <c r="I6" s="1021"/>
      <c r="J6" s="1021"/>
      <c r="K6" s="1021"/>
      <c r="L6" s="1021"/>
      <c r="M6" s="1021"/>
      <c r="N6" s="1021"/>
      <c r="O6" s="1021"/>
      <c r="P6" s="1021"/>
      <c r="Q6" s="1021"/>
      <c r="R6" s="1021"/>
      <c r="S6" s="1021"/>
    </row>
    <row r="7" spans="1:19">
      <c r="A7" s="1041"/>
      <c r="B7" s="1021"/>
      <c r="C7" s="1021"/>
      <c r="D7" s="1021"/>
      <c r="E7" s="1021"/>
      <c r="F7" s="1021"/>
      <c r="G7" s="1021"/>
      <c r="H7" s="1021"/>
      <c r="I7" s="1021"/>
      <c r="J7" s="1021"/>
      <c r="K7" s="1021"/>
      <c r="L7" s="1021"/>
      <c r="M7" s="1021"/>
      <c r="N7" s="1021"/>
      <c r="O7" s="1021"/>
      <c r="P7" s="1021"/>
      <c r="Q7" s="1021"/>
      <c r="R7" s="1021"/>
      <c r="S7" s="1021"/>
    </row>
    <row r="8" spans="1:19">
      <c r="A8" s="1041"/>
      <c r="B8" s="1024" t="s">
        <v>689</v>
      </c>
      <c r="C8" s="1024" t="s">
        <v>690</v>
      </c>
      <c r="D8" s="1024" t="s">
        <v>691</v>
      </c>
      <c r="E8" s="1024" t="s">
        <v>692</v>
      </c>
      <c r="F8" s="1024" t="s">
        <v>693</v>
      </c>
      <c r="G8" s="1024" t="s">
        <v>694</v>
      </c>
      <c r="H8" s="1024"/>
      <c r="I8" s="1024" t="s">
        <v>695</v>
      </c>
      <c r="J8" s="1024" t="s">
        <v>696</v>
      </c>
      <c r="K8" s="1024" t="s">
        <v>697</v>
      </c>
      <c r="L8" s="1024"/>
      <c r="M8" s="1024" t="s">
        <v>698</v>
      </c>
      <c r="N8" s="1024" t="s">
        <v>699</v>
      </c>
      <c r="O8" s="1024" t="s">
        <v>700</v>
      </c>
      <c r="P8" s="1021"/>
      <c r="Q8" s="1024" t="s">
        <v>701</v>
      </c>
      <c r="R8" s="1024" t="s">
        <v>702</v>
      </c>
      <c r="S8" s="1024" t="s">
        <v>703</v>
      </c>
    </row>
    <row r="9" spans="1:19">
      <c r="A9" s="1041"/>
      <c r="B9" s="1021"/>
      <c r="C9" s="1021"/>
      <c r="D9" s="1021"/>
      <c r="E9" s="1021"/>
      <c r="F9" s="1021"/>
      <c r="G9" s="1021"/>
      <c r="H9" s="1021"/>
      <c r="I9" s="1021"/>
      <c r="J9" s="1021"/>
      <c r="K9" s="1021"/>
      <c r="L9" s="1021"/>
      <c r="M9" s="1021"/>
      <c r="N9" s="1021"/>
      <c r="O9" s="1021"/>
      <c r="P9" s="1021"/>
      <c r="Q9" s="1021"/>
      <c r="R9" s="1021"/>
      <c r="S9" s="1021"/>
    </row>
    <row r="10" spans="1:19">
      <c r="A10" s="1041"/>
      <c r="B10" s="1021"/>
      <c r="C10" s="1025" t="s">
        <v>704</v>
      </c>
      <c r="D10" s="1025"/>
      <c r="E10" s="1026" t="s">
        <v>705</v>
      </c>
      <c r="F10" s="1025"/>
      <c r="G10" s="22" t="s">
        <v>706</v>
      </c>
      <c r="H10" s="22"/>
      <c r="I10" s="1027" t="s">
        <v>707</v>
      </c>
      <c r="J10" s="1025"/>
      <c r="K10" s="1025"/>
      <c r="L10" s="22"/>
      <c r="M10" s="1027" t="str">
        <f>"FUNCTIONALIZATION 12/31/"&amp;TCOS!L4-1</f>
        <v>FUNCTIONALIZATION 12/31/2024</v>
      </c>
      <c r="N10" s="1025"/>
      <c r="O10" s="1025"/>
      <c r="P10" s="1021"/>
      <c r="Q10" s="1027" t="str">
        <f>"FUNCTIONALIZATION 12/31/"&amp;TCOS!L4</f>
        <v>FUNCTIONALIZATION 12/31/2025</v>
      </c>
      <c r="R10" s="1025"/>
      <c r="S10" s="1025"/>
    </row>
    <row r="11" spans="1:19">
      <c r="A11" s="1041"/>
      <c r="B11" s="1021"/>
      <c r="C11" s="1029"/>
      <c r="D11" s="1029"/>
      <c r="E11" s="1021"/>
      <c r="F11" s="1021"/>
      <c r="G11" s="22" t="s">
        <v>708</v>
      </c>
      <c r="H11" s="22"/>
      <c r="I11" s="1029"/>
      <c r="J11" s="1029"/>
      <c r="K11" s="1029"/>
      <c r="L11" s="22"/>
      <c r="M11" s="1029"/>
      <c r="N11" s="1029"/>
      <c r="O11" s="1029"/>
      <c r="P11" s="1021"/>
      <c r="Q11" s="1029"/>
      <c r="R11" s="1029"/>
      <c r="S11" s="1029"/>
    </row>
    <row r="12" spans="1:19" s="21" customFormat="1">
      <c r="A12" s="1041"/>
      <c r="B12" s="1021"/>
      <c r="C12" s="22" t="s">
        <v>709</v>
      </c>
      <c r="D12" s="22" t="s">
        <v>709</v>
      </c>
      <c r="E12" s="22" t="s">
        <v>709</v>
      </c>
      <c r="F12" s="22" t="s">
        <v>709</v>
      </c>
      <c r="G12" s="22" t="s">
        <v>710</v>
      </c>
      <c r="H12" s="22"/>
      <c r="I12" s="1021"/>
      <c r="J12" s="1021"/>
      <c r="K12" s="1021"/>
      <c r="L12" s="22"/>
      <c r="M12" s="1021"/>
      <c r="N12" s="1021"/>
      <c r="O12" s="1021"/>
      <c r="P12" s="1021"/>
      <c r="Q12" s="1021"/>
      <c r="R12" s="1021"/>
      <c r="S12" s="1021"/>
    </row>
    <row r="13" spans="1:19" s="21" customFormat="1">
      <c r="A13" s="1041"/>
      <c r="B13" s="1024" t="s">
        <v>711</v>
      </c>
      <c r="C13" s="1024" t="str">
        <f>"OF 12-31-"&amp;TCOS!L4-1</f>
        <v>OF 12-31-2024</v>
      </c>
      <c r="D13" s="1024" t="str">
        <f>"OF 12-31-"&amp;TCOS!L4</f>
        <v>OF 12-31-2025</v>
      </c>
      <c r="E13" s="1024" t="str">
        <f>"OF 12-31-"&amp;TCOS!L4-1</f>
        <v>OF 12-31-2024</v>
      </c>
      <c r="F13" s="1024" t="str">
        <f>"OF 12-31-"&amp;TCOS!L4</f>
        <v>OF 12-31-2025</v>
      </c>
      <c r="G13" s="1024" t="s">
        <v>712</v>
      </c>
      <c r="H13" s="1024"/>
      <c r="I13" s="1024" t="s">
        <v>713</v>
      </c>
      <c r="J13" s="1024" t="s">
        <v>714</v>
      </c>
      <c r="K13" s="1024" t="s">
        <v>715</v>
      </c>
      <c r="L13" s="1024"/>
      <c r="M13" s="1024" t="s">
        <v>713</v>
      </c>
      <c r="N13" s="1024" t="s">
        <v>714</v>
      </c>
      <c r="O13" s="1024" t="s">
        <v>715</v>
      </c>
      <c r="P13" s="1021"/>
      <c r="Q13" s="1024" t="s">
        <v>713</v>
      </c>
      <c r="R13" s="1024" t="s">
        <v>714</v>
      </c>
      <c r="S13" s="1024" t="s">
        <v>715</v>
      </c>
    </row>
    <row r="14" spans="1:19">
      <c r="A14" s="1041"/>
      <c r="B14" s="1021"/>
      <c r="C14" s="1021"/>
      <c r="D14" s="1021"/>
      <c r="E14" s="1021"/>
      <c r="F14" s="1021"/>
      <c r="G14" s="1021"/>
      <c r="H14" s="1021"/>
      <c r="I14" s="1021"/>
      <c r="J14" s="1021"/>
      <c r="K14" s="1021"/>
      <c r="L14" s="1021"/>
      <c r="M14" s="1021"/>
      <c r="N14" s="1021"/>
      <c r="O14" s="1021"/>
      <c r="P14" s="1021"/>
      <c r="Q14" s="1021"/>
      <c r="R14" s="1021"/>
      <c r="S14" s="1021"/>
    </row>
    <row r="15" spans="1:19">
      <c r="A15" s="1062">
        <v>1</v>
      </c>
      <c r="B15" s="839" t="s">
        <v>716</v>
      </c>
      <c r="C15" s="1031"/>
      <c r="D15" s="1031"/>
      <c r="E15" s="1031"/>
      <c r="F15" s="1032"/>
      <c r="G15" s="1031"/>
      <c r="H15" s="1031"/>
      <c r="I15" s="1031"/>
      <c r="J15" s="1031"/>
      <c r="K15" s="1031"/>
      <c r="L15" s="1031"/>
      <c r="M15" s="1031"/>
      <c r="N15" s="1031"/>
      <c r="O15" s="1031"/>
      <c r="P15" s="1031"/>
      <c r="Q15" s="1031"/>
      <c r="R15" s="1031"/>
      <c r="S15" s="1031"/>
    </row>
    <row r="16" spans="1:19">
      <c r="A16" s="1062">
        <v>2.0099999999999998</v>
      </c>
      <c r="B16" s="839"/>
      <c r="C16" s="1031"/>
      <c r="D16" s="1031"/>
      <c r="E16" s="1031"/>
      <c r="F16" s="1031"/>
      <c r="G16" s="1031"/>
      <c r="H16" s="1031"/>
      <c r="I16" s="1031"/>
      <c r="J16" s="1031"/>
      <c r="K16" s="1031"/>
      <c r="L16" s="1031"/>
      <c r="M16" s="1031"/>
      <c r="N16" s="1031"/>
      <c r="O16" s="1031"/>
      <c r="P16" s="1031"/>
      <c r="Q16" s="1031"/>
      <c r="R16" s="1031"/>
      <c r="S16" s="1031"/>
    </row>
    <row r="17" spans="1:19">
      <c r="A17" s="1062">
        <v>2.02</v>
      </c>
      <c r="B17" s="839"/>
      <c r="C17" s="1031">
        <f>SUM(M17:O17)</f>
        <v>0</v>
      </c>
      <c r="D17" s="1031">
        <f>SUM(Q17:S17)</f>
        <v>0</v>
      </c>
      <c r="E17" s="1031"/>
      <c r="F17" s="1031"/>
      <c r="G17" s="1031">
        <f>ROUND(SUM(C17:F17)/2,0)</f>
        <v>0</v>
      </c>
      <c r="H17" s="1031"/>
      <c r="I17" s="1031">
        <f>(M17+Q17)/2</f>
        <v>0</v>
      </c>
      <c r="J17" s="1031">
        <f>(N17+R17)/2</f>
        <v>0</v>
      </c>
      <c r="K17" s="1031">
        <f>(O17+S17)/2</f>
        <v>0</v>
      </c>
      <c r="L17" s="1031"/>
      <c r="M17" s="839"/>
      <c r="N17" s="839"/>
      <c r="O17" s="839"/>
      <c r="P17" s="1031"/>
      <c r="Q17" s="839"/>
      <c r="R17" s="839"/>
      <c r="S17" s="839"/>
    </row>
    <row r="18" spans="1:19">
      <c r="A18" s="1062">
        <v>2.0299999999999998</v>
      </c>
      <c r="B18" s="839"/>
      <c r="C18" s="1031"/>
      <c r="D18" s="1031"/>
      <c r="E18" s="1031"/>
      <c r="F18" s="1031"/>
      <c r="G18" s="1031"/>
      <c r="H18" s="1031"/>
      <c r="I18" s="1031"/>
      <c r="J18" s="1031"/>
      <c r="K18" s="1031"/>
      <c r="L18" s="1031"/>
      <c r="M18" s="1031"/>
      <c r="N18" s="1031"/>
      <c r="O18" s="1031"/>
      <c r="P18" s="1031"/>
      <c r="Q18" s="1031"/>
      <c r="R18" s="1031"/>
      <c r="S18" s="1031"/>
    </row>
    <row r="19" spans="1:19">
      <c r="A19" s="1062">
        <v>2.04</v>
      </c>
      <c r="B19" s="839"/>
      <c r="C19" s="1031">
        <v>0</v>
      </c>
      <c r="D19" s="1031">
        <v>0</v>
      </c>
      <c r="E19" s="1031">
        <f t="shared" ref="E19:F21" si="0">-C19</f>
        <v>0</v>
      </c>
      <c r="F19" s="1031">
        <f t="shared" si="0"/>
        <v>0</v>
      </c>
      <c r="G19" s="1031">
        <f>ROUND(SUM(C19:F19)/2,0)</f>
        <v>0</v>
      </c>
      <c r="H19" s="1031"/>
      <c r="I19" s="1031"/>
      <c r="J19" s="1031"/>
      <c r="K19" s="1031"/>
      <c r="L19" s="1031"/>
      <c r="M19" s="1031"/>
      <c r="N19" s="1031"/>
      <c r="O19" s="1031"/>
      <c r="P19" s="1031"/>
      <c r="Q19" s="1031"/>
      <c r="R19" s="1031"/>
      <c r="S19" s="1031"/>
    </row>
    <row r="20" spans="1:19">
      <c r="A20" s="1062">
        <v>2.0499999999999998</v>
      </c>
      <c r="B20" s="839"/>
      <c r="C20" s="1031">
        <v>0</v>
      </c>
      <c r="D20" s="1031">
        <v>0</v>
      </c>
      <c r="E20" s="1031">
        <f t="shared" si="0"/>
        <v>0</v>
      </c>
      <c r="F20" s="1031">
        <f t="shared" si="0"/>
        <v>0</v>
      </c>
      <c r="G20" s="1031">
        <f>ROUND(SUM(C20:F20)/2,0)</f>
        <v>0</v>
      </c>
      <c r="H20" s="1031"/>
      <c r="I20" s="1031"/>
      <c r="J20" s="1031"/>
      <c r="K20" s="1031"/>
      <c r="L20" s="1031"/>
      <c r="M20" s="1031"/>
      <c r="N20" s="1031"/>
      <c r="O20" s="1031"/>
      <c r="P20" s="1031"/>
      <c r="Q20" s="1031"/>
      <c r="R20" s="1031"/>
      <c r="S20" s="1031"/>
    </row>
    <row r="21" spans="1:19">
      <c r="A21" s="1062">
        <v>2.06</v>
      </c>
      <c r="B21" s="839"/>
      <c r="C21" s="1031">
        <v>0</v>
      </c>
      <c r="D21" s="1031">
        <v>0</v>
      </c>
      <c r="E21" s="1031">
        <f t="shared" si="0"/>
        <v>0</v>
      </c>
      <c r="F21" s="1031">
        <f t="shared" si="0"/>
        <v>0</v>
      </c>
      <c r="G21" s="1031">
        <f>ROUND(SUM(C21:F21)/2,0)</f>
        <v>0</v>
      </c>
      <c r="H21" s="1031"/>
      <c r="I21" s="1031"/>
      <c r="J21" s="1031"/>
      <c r="K21" s="1031"/>
      <c r="L21" s="1031"/>
      <c r="M21" s="1031"/>
      <c r="N21" s="1031"/>
      <c r="O21" s="1031"/>
      <c r="P21" s="1031"/>
      <c r="Q21" s="1031"/>
      <c r="R21" s="1031"/>
      <c r="S21" s="1031"/>
    </row>
    <row r="22" spans="1:19">
      <c r="A22" s="1058"/>
      <c r="B22" s="1021"/>
      <c r="C22" s="1031"/>
      <c r="D22" s="1031"/>
      <c r="E22" s="1031"/>
      <c r="F22" s="1031"/>
      <c r="G22" s="1031"/>
      <c r="H22" s="1031"/>
      <c r="I22" s="1031"/>
      <c r="J22" s="1031"/>
      <c r="K22" s="1031"/>
      <c r="L22" s="1031"/>
      <c r="M22" s="1031"/>
      <c r="N22" s="1031"/>
      <c r="O22" s="1031"/>
      <c r="P22" s="1031"/>
      <c r="Q22" s="1031"/>
      <c r="R22" s="1031"/>
      <c r="S22" s="1031"/>
    </row>
    <row r="23" spans="1:19" ht="13.5" thickBot="1">
      <c r="A23" s="1042">
        <v>3</v>
      </c>
      <c r="B23" s="264" t="s">
        <v>717</v>
      </c>
      <c r="C23" s="1034">
        <f>SUM(C17:C22)</f>
        <v>0</v>
      </c>
      <c r="D23" s="1034">
        <f>SUM(D17:D22)</f>
        <v>0</v>
      </c>
      <c r="E23" s="1034">
        <f>SUM(E17:E22)</f>
        <v>0</v>
      </c>
      <c r="F23" s="1034">
        <f>SUM(F17:F22)</f>
        <v>0</v>
      </c>
      <c r="G23" s="1034">
        <f>SUM(G17:G22)</f>
        <v>0</v>
      </c>
      <c r="H23" s="1031"/>
      <c r="I23" s="1034">
        <f>SUM(I17:I22)</f>
        <v>0</v>
      </c>
      <c r="J23" s="1034">
        <f>SUM(J17:J22)</f>
        <v>0</v>
      </c>
      <c r="K23" s="1034">
        <f>SUM(K17:K22)</f>
        <v>0</v>
      </c>
      <c r="L23" s="1031"/>
      <c r="M23" s="1034">
        <f>SUM(M17:M22)</f>
        <v>0</v>
      </c>
      <c r="N23" s="1034">
        <f>SUM(N17:N22)</f>
        <v>0</v>
      </c>
      <c r="O23" s="1034">
        <f>SUM(O17:O22)</f>
        <v>0</v>
      </c>
      <c r="P23" s="1031"/>
      <c r="Q23" s="1034">
        <f>SUM(Q17:Q22)</f>
        <v>0</v>
      </c>
      <c r="R23" s="1034">
        <f>SUM(R17:R22)</f>
        <v>0</v>
      </c>
      <c r="S23" s="1034">
        <f>SUM(S17:S22)</f>
        <v>0</v>
      </c>
    </row>
    <row r="24" spans="1:19" ht="13.5" thickTop="1">
      <c r="A24" s="1042">
        <f>A23+1</f>
        <v>4</v>
      </c>
      <c r="B24" s="1109" t="s">
        <v>735</v>
      </c>
      <c r="C24" s="1055">
        <v>0</v>
      </c>
      <c r="D24" s="1055">
        <v>0</v>
      </c>
      <c r="E24" s="1055">
        <v>0</v>
      </c>
      <c r="F24" s="1055">
        <v>0</v>
      </c>
      <c r="G24" s="1055">
        <v>0</v>
      </c>
      <c r="H24" s="1056"/>
      <c r="I24" s="1055">
        <v>0</v>
      </c>
      <c r="J24" s="1055">
        <v>0</v>
      </c>
      <c r="K24" s="1055">
        <v>0</v>
      </c>
      <c r="L24" s="1056"/>
      <c r="M24" s="1055">
        <v>0</v>
      </c>
      <c r="N24" s="1055">
        <v>0</v>
      </c>
      <c r="O24" s="1055">
        <v>0</v>
      </c>
      <c r="P24" s="1056"/>
      <c r="Q24" s="1055">
        <v>0</v>
      </c>
      <c r="R24" s="1055">
        <v>0</v>
      </c>
      <c r="S24" s="1055">
        <v>0</v>
      </c>
    </row>
    <row r="25" spans="1:19">
      <c r="A25" s="1042"/>
      <c r="B25" s="1021"/>
      <c r="C25" s="1031"/>
      <c r="D25" s="1031"/>
      <c r="E25" s="1031"/>
      <c r="F25" s="1031"/>
      <c r="G25" s="1031"/>
      <c r="H25" s="1031"/>
      <c r="I25" s="1031"/>
      <c r="J25" s="1031"/>
      <c r="K25" s="1031"/>
      <c r="L25" s="1031"/>
      <c r="M25" s="1031"/>
      <c r="N25" s="1031"/>
      <c r="O25" s="1031"/>
      <c r="P25" s="1031"/>
      <c r="Q25" s="1031"/>
      <c r="R25" s="1031"/>
      <c r="S25" s="1031"/>
    </row>
    <row r="26" spans="1:19">
      <c r="A26" s="1042">
        <v>5</v>
      </c>
      <c r="B26" s="1022" t="s">
        <v>718</v>
      </c>
      <c r="C26" s="1031"/>
      <c r="D26" s="1031"/>
      <c r="E26" s="1031"/>
      <c r="F26" s="1031"/>
      <c r="G26" s="1031"/>
      <c r="H26" s="1031"/>
      <c r="I26" s="1031"/>
      <c r="J26" s="1031"/>
      <c r="K26" s="1031"/>
      <c r="L26" s="1031"/>
      <c r="M26" s="1031"/>
      <c r="N26" s="1031"/>
      <c r="O26" s="1031"/>
      <c r="P26" s="1031"/>
      <c r="Q26" s="1031"/>
      <c r="R26" s="1031"/>
      <c r="S26" s="1031"/>
    </row>
    <row r="27" spans="1:19">
      <c r="A27" s="1059"/>
      <c r="B27" s="1021"/>
      <c r="C27" s="1031"/>
      <c r="D27" s="1031"/>
      <c r="E27" s="1031"/>
      <c r="F27" s="1031"/>
      <c r="G27" s="1031"/>
      <c r="H27" s="1031"/>
      <c r="I27" s="1031"/>
      <c r="J27" s="1031"/>
      <c r="K27" s="1031"/>
      <c r="L27" s="1031"/>
      <c r="M27" s="1031"/>
      <c r="N27" s="1031"/>
      <c r="O27" s="1031"/>
      <c r="P27" s="1031"/>
      <c r="Q27" s="1031"/>
      <c r="R27" s="1031"/>
      <c r="S27" s="1031"/>
    </row>
    <row r="28" spans="1:19">
      <c r="A28" s="1062">
        <v>5.01</v>
      </c>
      <c r="B28" s="839"/>
      <c r="C28" s="1031">
        <f t="shared" ref="C28:C64" si="1">SUM(M28:O28)</f>
        <v>0</v>
      </c>
      <c r="D28" s="1031">
        <f t="shared" ref="D28:D64" si="2">SUM(Q28:S28)</f>
        <v>0</v>
      </c>
      <c r="E28" s="1031"/>
      <c r="F28" s="1031"/>
      <c r="G28" s="1031">
        <f t="shared" ref="G28:G50" si="3">ROUND(SUM(C28:F28)/2,0)</f>
        <v>0</v>
      </c>
      <c r="H28" s="1031"/>
      <c r="I28" s="1031">
        <f t="shared" ref="I28:K65" si="4">(M28+Q28)/2</f>
        <v>0</v>
      </c>
      <c r="J28" s="1031">
        <f t="shared" si="4"/>
        <v>0</v>
      </c>
      <c r="K28" s="1031">
        <f t="shared" si="4"/>
        <v>0</v>
      </c>
      <c r="L28" s="1031"/>
      <c r="M28" s="839"/>
      <c r="N28" s="839"/>
      <c r="O28" s="839"/>
      <c r="P28" s="1031"/>
      <c r="Q28" s="839"/>
      <c r="R28" s="839"/>
      <c r="S28" s="839"/>
    </row>
    <row r="29" spans="1:19">
      <c r="A29" s="1062">
        <f>A28+0.01</f>
        <v>5.0199999999999996</v>
      </c>
      <c r="B29" s="839"/>
      <c r="C29" s="1031">
        <f>SUM(M29:O29)</f>
        <v>0</v>
      </c>
      <c r="D29" s="1031">
        <f>SUM(Q29:S29)</f>
        <v>0</v>
      </c>
      <c r="E29" s="1031"/>
      <c r="F29" s="1031"/>
      <c r="G29" s="1031">
        <f t="shared" si="3"/>
        <v>0</v>
      </c>
      <c r="H29" s="1031"/>
      <c r="I29" s="1031">
        <f t="shared" si="4"/>
        <v>0</v>
      </c>
      <c r="J29" s="1031">
        <f t="shared" si="4"/>
        <v>0</v>
      </c>
      <c r="K29" s="1031">
        <f t="shared" si="4"/>
        <v>0</v>
      </c>
      <c r="L29" s="1031"/>
      <c r="M29" s="839"/>
      <c r="N29" s="839"/>
      <c r="O29" s="839"/>
      <c r="P29" s="1031"/>
      <c r="Q29" s="839"/>
      <c r="R29" s="839"/>
      <c r="S29" s="839"/>
    </row>
    <row r="30" spans="1:19">
      <c r="A30" s="1062">
        <f t="shared" ref="A30:A68" si="5">A29+0.01</f>
        <v>5.0299999999999994</v>
      </c>
      <c r="B30" s="839"/>
      <c r="C30" s="1031">
        <f t="shared" si="1"/>
        <v>0</v>
      </c>
      <c r="D30" s="1031">
        <f t="shared" si="2"/>
        <v>0</v>
      </c>
      <c r="E30" s="1031"/>
      <c r="F30" s="1031"/>
      <c r="G30" s="1031">
        <f t="shared" si="3"/>
        <v>0</v>
      </c>
      <c r="H30" s="1031"/>
      <c r="I30" s="1031">
        <f t="shared" si="4"/>
        <v>0</v>
      </c>
      <c r="J30" s="1031">
        <f t="shared" si="4"/>
        <v>0</v>
      </c>
      <c r="K30" s="1031">
        <f t="shared" si="4"/>
        <v>0</v>
      </c>
      <c r="L30" s="1031"/>
      <c r="M30" s="1096"/>
      <c r="N30" s="1096"/>
      <c r="O30" s="839"/>
      <c r="P30" s="1031"/>
      <c r="Q30" s="1096"/>
      <c r="R30" s="1096"/>
      <c r="S30" s="839"/>
    </row>
    <row r="31" spans="1:19">
      <c r="A31" s="1062">
        <f t="shared" si="5"/>
        <v>5.0399999999999991</v>
      </c>
      <c r="B31" s="839"/>
      <c r="C31" s="1031">
        <f>SUM(M31:O31)</f>
        <v>0</v>
      </c>
      <c r="D31" s="1031">
        <f>SUM(Q31:S31)</f>
        <v>0</v>
      </c>
      <c r="E31" s="1031"/>
      <c r="F31" s="1031"/>
      <c r="G31" s="1031">
        <f t="shared" si="3"/>
        <v>0</v>
      </c>
      <c r="H31" s="1031"/>
      <c r="I31" s="1031">
        <f t="shared" si="4"/>
        <v>0</v>
      </c>
      <c r="J31" s="1031">
        <f t="shared" si="4"/>
        <v>0</v>
      </c>
      <c r="K31" s="1031">
        <f t="shared" si="4"/>
        <v>0</v>
      </c>
      <c r="L31" s="1031"/>
      <c r="M31" s="839"/>
      <c r="N31" s="839"/>
      <c r="O31" s="839"/>
      <c r="P31" s="1031"/>
      <c r="Q31" s="839"/>
      <c r="R31" s="839"/>
      <c r="S31" s="839"/>
    </row>
    <row r="32" spans="1:19">
      <c r="A32" s="1062">
        <f t="shared" si="5"/>
        <v>5.0499999999999989</v>
      </c>
      <c r="B32" s="839"/>
      <c r="C32" s="1031">
        <f t="shared" si="1"/>
        <v>0</v>
      </c>
      <c r="D32" s="1031">
        <f t="shared" si="2"/>
        <v>0</v>
      </c>
      <c r="E32" s="1031"/>
      <c r="F32" s="1031"/>
      <c r="G32" s="1031">
        <f t="shared" si="3"/>
        <v>0</v>
      </c>
      <c r="H32" s="1031"/>
      <c r="I32" s="1031">
        <f t="shared" si="4"/>
        <v>0</v>
      </c>
      <c r="J32" s="1031">
        <f t="shared" si="4"/>
        <v>0</v>
      </c>
      <c r="K32" s="1031">
        <f t="shared" si="4"/>
        <v>0</v>
      </c>
      <c r="L32" s="1031"/>
      <c r="M32" s="839"/>
      <c r="N32" s="839"/>
      <c r="O32" s="839"/>
      <c r="P32" s="1031"/>
      <c r="Q32" s="839"/>
      <c r="R32" s="839"/>
      <c r="S32" s="839"/>
    </row>
    <row r="33" spans="1:19">
      <c r="A33" s="1062">
        <f t="shared" si="5"/>
        <v>5.0599999999999987</v>
      </c>
      <c r="B33" s="839"/>
      <c r="C33" s="1031">
        <f t="shared" ref="C33:C39" si="6">SUM(M33:O33)</f>
        <v>0</v>
      </c>
      <c r="D33" s="1031">
        <f t="shared" ref="D33:D39" si="7">SUM(Q33:S33)</f>
        <v>0</v>
      </c>
      <c r="E33" s="1031"/>
      <c r="F33" s="1031"/>
      <c r="G33" s="1031">
        <f t="shared" si="3"/>
        <v>0</v>
      </c>
      <c r="H33" s="1031"/>
      <c r="I33" s="1031">
        <f t="shared" si="4"/>
        <v>0</v>
      </c>
      <c r="J33" s="1031">
        <f t="shared" si="4"/>
        <v>0</v>
      </c>
      <c r="K33" s="1031">
        <f t="shared" si="4"/>
        <v>0</v>
      </c>
      <c r="L33" s="1031"/>
      <c r="M33" s="839"/>
      <c r="N33" s="839"/>
      <c r="O33" s="839"/>
      <c r="P33" s="1031"/>
      <c r="Q33" s="839"/>
      <c r="R33" s="839"/>
      <c r="S33" s="839"/>
    </row>
    <row r="34" spans="1:19">
      <c r="A34" s="1062">
        <f t="shared" si="5"/>
        <v>5.0699999999999985</v>
      </c>
      <c r="B34" s="839"/>
      <c r="C34" s="1036">
        <f t="shared" si="6"/>
        <v>0</v>
      </c>
      <c r="D34" s="1036">
        <f t="shared" si="7"/>
        <v>0</v>
      </c>
      <c r="E34" s="1036"/>
      <c r="F34" s="1036"/>
      <c r="G34" s="1036">
        <f t="shared" si="3"/>
        <v>0</v>
      </c>
      <c r="H34" s="1036"/>
      <c r="I34" s="1036">
        <f t="shared" si="4"/>
        <v>0</v>
      </c>
      <c r="J34" s="1036">
        <f t="shared" si="4"/>
        <v>0</v>
      </c>
      <c r="K34" s="1036">
        <f t="shared" si="4"/>
        <v>0</v>
      </c>
      <c r="L34" s="1036"/>
      <c r="M34" s="839"/>
      <c r="N34" s="1096"/>
      <c r="O34" s="839"/>
      <c r="P34" s="1031"/>
      <c r="Q34" s="1096"/>
      <c r="R34" s="1096"/>
      <c r="S34" s="839"/>
    </row>
    <row r="35" spans="1:19">
      <c r="A35" s="1062">
        <f t="shared" si="5"/>
        <v>5.0799999999999983</v>
      </c>
      <c r="B35" s="839"/>
      <c r="C35" s="1036">
        <f t="shared" si="6"/>
        <v>0</v>
      </c>
      <c r="D35" s="1036">
        <f t="shared" si="7"/>
        <v>0</v>
      </c>
      <c r="E35" s="1036"/>
      <c r="F35" s="1036"/>
      <c r="G35" s="1036">
        <f t="shared" si="3"/>
        <v>0</v>
      </c>
      <c r="H35" s="1036"/>
      <c r="I35" s="1036">
        <f t="shared" si="4"/>
        <v>0</v>
      </c>
      <c r="J35" s="1036">
        <f t="shared" si="4"/>
        <v>0</v>
      </c>
      <c r="K35" s="1036">
        <f t="shared" si="4"/>
        <v>0</v>
      </c>
      <c r="L35" s="1036"/>
      <c r="M35" s="839"/>
      <c r="N35" s="839"/>
      <c r="O35" s="839"/>
      <c r="P35" s="1036"/>
      <c r="Q35" s="839"/>
      <c r="R35" s="839"/>
      <c r="S35" s="839"/>
    </row>
    <row r="36" spans="1:19">
      <c r="A36" s="1062">
        <f t="shared" si="5"/>
        <v>5.0899999999999981</v>
      </c>
      <c r="B36" s="839"/>
      <c r="C36" s="1031">
        <f>SUM(M36:O36)</f>
        <v>0</v>
      </c>
      <c r="D36" s="1031">
        <f t="shared" si="7"/>
        <v>0</v>
      </c>
      <c r="E36" s="1031"/>
      <c r="F36" s="1031"/>
      <c r="G36" s="1031">
        <f>ROUND(SUM(C36:F36)/2,0)</f>
        <v>0</v>
      </c>
      <c r="H36" s="1031"/>
      <c r="I36" s="1031">
        <f t="shared" si="4"/>
        <v>0</v>
      </c>
      <c r="J36" s="1031">
        <f t="shared" si="4"/>
        <v>0</v>
      </c>
      <c r="K36" s="1031">
        <f t="shared" si="4"/>
        <v>0</v>
      </c>
      <c r="L36" s="1031"/>
      <c r="M36" s="839"/>
      <c r="N36" s="839"/>
      <c r="O36" s="839"/>
      <c r="P36" s="1031"/>
      <c r="Q36" s="839"/>
      <c r="R36" s="839"/>
      <c r="S36" s="839"/>
    </row>
    <row r="37" spans="1:19">
      <c r="A37" s="1062">
        <f t="shared" si="5"/>
        <v>5.0999999999999979</v>
      </c>
      <c r="B37" s="839"/>
      <c r="C37" s="1031">
        <f t="shared" si="6"/>
        <v>0</v>
      </c>
      <c r="D37" s="1031">
        <f t="shared" si="7"/>
        <v>0</v>
      </c>
      <c r="E37" s="1031"/>
      <c r="F37" s="1031"/>
      <c r="G37" s="1031">
        <f t="shared" si="3"/>
        <v>0</v>
      </c>
      <c r="H37" s="1031"/>
      <c r="I37" s="1031">
        <f t="shared" si="4"/>
        <v>0</v>
      </c>
      <c r="J37" s="1031">
        <f t="shared" si="4"/>
        <v>0</v>
      </c>
      <c r="K37" s="1031">
        <f t="shared" si="4"/>
        <v>0</v>
      </c>
      <c r="L37" s="1031"/>
      <c r="M37" s="839"/>
      <c r="N37" s="839"/>
      <c r="O37" s="839"/>
      <c r="P37" s="1031"/>
      <c r="Q37" s="839"/>
      <c r="R37" s="839"/>
      <c r="S37" s="839"/>
    </row>
    <row r="38" spans="1:19" hidden="1">
      <c r="A38" s="1062">
        <f t="shared" si="5"/>
        <v>5.1099999999999977</v>
      </c>
      <c r="B38" s="839"/>
      <c r="C38" s="1031">
        <f t="shared" si="6"/>
        <v>0</v>
      </c>
      <c r="D38" s="1031">
        <f t="shared" si="7"/>
        <v>0</v>
      </c>
      <c r="E38" s="1031"/>
      <c r="F38" s="1031"/>
      <c r="G38" s="1031">
        <f t="shared" si="3"/>
        <v>0</v>
      </c>
      <c r="H38" s="1031"/>
      <c r="I38" s="1031">
        <f t="shared" si="4"/>
        <v>0</v>
      </c>
      <c r="J38" s="1031">
        <f t="shared" si="4"/>
        <v>0</v>
      </c>
      <c r="K38" s="1031">
        <f t="shared" si="4"/>
        <v>0</v>
      </c>
      <c r="L38" s="1031"/>
      <c r="M38" s="839"/>
      <c r="N38" s="839"/>
      <c r="O38" s="839"/>
      <c r="P38" s="1031"/>
      <c r="Q38" s="839"/>
      <c r="R38" s="839"/>
      <c r="S38" s="839"/>
    </row>
    <row r="39" spans="1:19" hidden="1">
      <c r="A39" s="1062">
        <f t="shared" si="5"/>
        <v>5.1199999999999974</v>
      </c>
      <c r="B39" s="839"/>
      <c r="C39" s="1031">
        <f t="shared" si="6"/>
        <v>0</v>
      </c>
      <c r="D39" s="1031">
        <f t="shared" si="7"/>
        <v>0</v>
      </c>
      <c r="E39" s="1031"/>
      <c r="F39" s="1031"/>
      <c r="G39" s="1031">
        <f t="shared" si="3"/>
        <v>0</v>
      </c>
      <c r="H39" s="1031"/>
      <c r="I39" s="1031">
        <f t="shared" si="4"/>
        <v>0</v>
      </c>
      <c r="J39" s="1031">
        <f t="shared" si="4"/>
        <v>0</v>
      </c>
      <c r="K39" s="1031">
        <f t="shared" si="4"/>
        <v>0</v>
      </c>
      <c r="L39" s="1031"/>
      <c r="M39" s="839"/>
      <c r="N39" s="839"/>
      <c r="O39" s="839"/>
      <c r="P39" s="1031"/>
      <c r="Q39" s="839"/>
      <c r="R39" s="839"/>
      <c r="S39" s="839"/>
    </row>
    <row r="40" spans="1:19" hidden="1">
      <c r="A40" s="1062">
        <f t="shared" si="5"/>
        <v>5.1299999999999972</v>
      </c>
      <c r="B40" s="839"/>
      <c r="C40" s="1031">
        <f t="shared" si="1"/>
        <v>0</v>
      </c>
      <c r="D40" s="1031">
        <f t="shared" si="2"/>
        <v>0</v>
      </c>
      <c r="E40" s="1031"/>
      <c r="F40" s="1031"/>
      <c r="G40" s="1031">
        <f t="shared" si="3"/>
        <v>0</v>
      </c>
      <c r="H40" s="1031"/>
      <c r="I40" s="1031">
        <f t="shared" si="4"/>
        <v>0</v>
      </c>
      <c r="J40" s="1031">
        <f t="shared" si="4"/>
        <v>0</v>
      </c>
      <c r="K40" s="1031">
        <f t="shared" si="4"/>
        <v>0</v>
      </c>
      <c r="L40" s="1031"/>
      <c r="M40" s="839"/>
      <c r="N40" s="839"/>
      <c r="O40" s="839"/>
      <c r="P40" s="1031"/>
      <c r="Q40" s="839"/>
      <c r="R40" s="839"/>
      <c r="S40" s="839"/>
    </row>
    <row r="41" spans="1:19" hidden="1">
      <c r="A41" s="1062">
        <f t="shared" si="5"/>
        <v>5.139999999999997</v>
      </c>
      <c r="B41" s="839"/>
      <c r="C41" s="1031">
        <f t="shared" si="1"/>
        <v>0</v>
      </c>
      <c r="D41" s="1031">
        <f t="shared" si="2"/>
        <v>0</v>
      </c>
      <c r="E41" s="1031"/>
      <c r="F41" s="1031"/>
      <c r="G41" s="1031">
        <f t="shared" si="3"/>
        <v>0</v>
      </c>
      <c r="H41" s="1031"/>
      <c r="I41" s="1031">
        <f t="shared" si="4"/>
        <v>0</v>
      </c>
      <c r="J41" s="1031">
        <f t="shared" si="4"/>
        <v>0</v>
      </c>
      <c r="K41" s="1031">
        <f t="shared" si="4"/>
        <v>0</v>
      </c>
      <c r="L41" s="1031"/>
      <c r="M41" s="839"/>
      <c r="N41" s="839"/>
      <c r="O41" s="839"/>
      <c r="P41" s="1031"/>
      <c r="Q41" s="839"/>
      <c r="R41" s="839"/>
      <c r="S41" s="839"/>
    </row>
    <row r="42" spans="1:19" hidden="1">
      <c r="A42" s="1062">
        <f t="shared" si="5"/>
        <v>5.1499999999999968</v>
      </c>
      <c r="B42" s="839"/>
      <c r="C42" s="1031">
        <f t="shared" si="1"/>
        <v>0</v>
      </c>
      <c r="D42" s="1031">
        <f t="shared" si="2"/>
        <v>0</v>
      </c>
      <c r="E42" s="1031"/>
      <c r="F42" s="1031"/>
      <c r="G42" s="1031">
        <f t="shared" si="3"/>
        <v>0</v>
      </c>
      <c r="H42" s="1031"/>
      <c r="I42" s="1031">
        <f t="shared" si="4"/>
        <v>0</v>
      </c>
      <c r="J42" s="1031">
        <f t="shared" si="4"/>
        <v>0</v>
      </c>
      <c r="K42" s="1031">
        <f t="shared" si="4"/>
        <v>0</v>
      </c>
      <c r="L42" s="1031"/>
      <c r="M42" s="839"/>
      <c r="N42" s="839"/>
      <c r="O42" s="839"/>
      <c r="P42" s="1031"/>
      <c r="Q42" s="839"/>
      <c r="R42" s="839"/>
      <c r="S42" s="839"/>
    </row>
    <row r="43" spans="1:19" hidden="1">
      <c r="A43" s="1062">
        <f t="shared" si="5"/>
        <v>5.1599999999999966</v>
      </c>
      <c r="B43" s="839"/>
      <c r="C43" s="1031">
        <f t="shared" si="1"/>
        <v>0</v>
      </c>
      <c r="D43" s="1031">
        <f t="shared" si="2"/>
        <v>0</v>
      </c>
      <c r="E43" s="1031"/>
      <c r="F43" s="1031"/>
      <c r="G43" s="1031">
        <f t="shared" si="3"/>
        <v>0</v>
      </c>
      <c r="H43" s="1031"/>
      <c r="I43" s="1031">
        <f t="shared" si="4"/>
        <v>0</v>
      </c>
      <c r="J43" s="1031">
        <f t="shared" si="4"/>
        <v>0</v>
      </c>
      <c r="K43" s="1031">
        <f t="shared" si="4"/>
        <v>0</v>
      </c>
      <c r="L43" s="1031"/>
      <c r="M43" s="839"/>
      <c r="N43" s="839"/>
      <c r="O43" s="839"/>
      <c r="P43" s="1031"/>
      <c r="Q43" s="839"/>
      <c r="R43" s="839"/>
      <c r="S43" s="839"/>
    </row>
    <row r="44" spans="1:19" hidden="1">
      <c r="A44" s="1062">
        <f t="shared" si="5"/>
        <v>5.1699999999999964</v>
      </c>
      <c r="B44" s="839"/>
      <c r="C44" s="1031">
        <f t="shared" si="1"/>
        <v>0</v>
      </c>
      <c r="D44" s="1031">
        <f t="shared" si="2"/>
        <v>0</v>
      </c>
      <c r="E44" s="1031"/>
      <c r="F44" s="1031"/>
      <c r="G44" s="1031">
        <f t="shared" si="3"/>
        <v>0</v>
      </c>
      <c r="H44" s="1031"/>
      <c r="I44" s="1031">
        <f t="shared" si="4"/>
        <v>0</v>
      </c>
      <c r="J44" s="1031">
        <f t="shared" si="4"/>
        <v>0</v>
      </c>
      <c r="K44" s="1031">
        <f t="shared" si="4"/>
        <v>0</v>
      </c>
      <c r="L44" s="1031"/>
      <c r="M44" s="839"/>
      <c r="N44" s="839"/>
      <c r="O44" s="839"/>
      <c r="P44" s="1031"/>
      <c r="Q44" s="839"/>
      <c r="R44" s="839"/>
      <c r="S44" s="839"/>
    </row>
    <row r="45" spans="1:19" hidden="1">
      <c r="A45" s="1062">
        <f t="shared" si="5"/>
        <v>5.1799999999999962</v>
      </c>
      <c r="B45" s="839"/>
      <c r="C45" s="1031">
        <f t="shared" si="1"/>
        <v>0</v>
      </c>
      <c r="D45" s="1031">
        <f t="shared" si="2"/>
        <v>0</v>
      </c>
      <c r="E45" s="1031"/>
      <c r="F45" s="1031"/>
      <c r="G45" s="1031">
        <f t="shared" si="3"/>
        <v>0</v>
      </c>
      <c r="H45" s="1031"/>
      <c r="I45" s="1031">
        <f t="shared" si="4"/>
        <v>0</v>
      </c>
      <c r="J45" s="1031">
        <f t="shared" si="4"/>
        <v>0</v>
      </c>
      <c r="K45" s="1031">
        <f t="shared" si="4"/>
        <v>0</v>
      </c>
      <c r="L45" s="1031"/>
      <c r="M45" s="839"/>
      <c r="N45" s="839"/>
      <c r="O45" s="839"/>
      <c r="P45" s="1031"/>
      <c r="Q45" s="839"/>
      <c r="R45" s="839"/>
      <c r="S45" s="839"/>
    </row>
    <row r="46" spans="1:19" hidden="1">
      <c r="A46" s="1062">
        <f t="shared" si="5"/>
        <v>5.1899999999999959</v>
      </c>
      <c r="B46" s="839"/>
      <c r="C46" s="1031">
        <f t="shared" si="1"/>
        <v>0</v>
      </c>
      <c r="D46" s="1031">
        <f t="shared" si="2"/>
        <v>0</v>
      </c>
      <c r="E46" s="1031"/>
      <c r="F46" s="1031"/>
      <c r="G46" s="1031">
        <f t="shared" si="3"/>
        <v>0</v>
      </c>
      <c r="H46" s="1031"/>
      <c r="I46" s="1031">
        <f t="shared" si="4"/>
        <v>0</v>
      </c>
      <c r="J46" s="1031">
        <f t="shared" si="4"/>
        <v>0</v>
      </c>
      <c r="K46" s="1031">
        <f t="shared" si="4"/>
        <v>0</v>
      </c>
      <c r="L46" s="1031"/>
      <c r="M46" s="839"/>
      <c r="N46" s="839"/>
      <c r="O46" s="839"/>
      <c r="P46" s="1031"/>
      <c r="Q46" s="839"/>
      <c r="R46" s="839"/>
      <c r="S46" s="839"/>
    </row>
    <row r="47" spans="1:19" hidden="1">
      <c r="A47" s="1062">
        <f t="shared" si="5"/>
        <v>5.1999999999999957</v>
      </c>
      <c r="B47" s="839"/>
      <c r="C47" s="1031">
        <f t="shared" si="1"/>
        <v>0</v>
      </c>
      <c r="D47" s="1031">
        <f t="shared" si="2"/>
        <v>0</v>
      </c>
      <c r="E47" s="1031"/>
      <c r="F47" s="1031"/>
      <c r="G47" s="1031">
        <f t="shared" si="3"/>
        <v>0</v>
      </c>
      <c r="H47" s="1031"/>
      <c r="I47" s="1031">
        <f t="shared" si="4"/>
        <v>0</v>
      </c>
      <c r="J47" s="1031">
        <f t="shared" si="4"/>
        <v>0</v>
      </c>
      <c r="K47" s="1031">
        <f t="shared" si="4"/>
        <v>0</v>
      </c>
      <c r="L47" s="1031"/>
      <c r="M47" s="839"/>
      <c r="N47" s="839"/>
      <c r="O47" s="839"/>
      <c r="P47" s="1031"/>
      <c r="Q47" s="839"/>
      <c r="R47" s="839"/>
      <c r="S47" s="839"/>
    </row>
    <row r="48" spans="1:19" hidden="1">
      <c r="A48" s="1062">
        <f t="shared" si="5"/>
        <v>5.2099999999999955</v>
      </c>
      <c r="B48" s="839"/>
      <c r="C48" s="1031">
        <f t="shared" si="1"/>
        <v>0</v>
      </c>
      <c r="D48" s="1031">
        <f t="shared" si="2"/>
        <v>0</v>
      </c>
      <c r="E48" s="1031"/>
      <c r="F48" s="1031"/>
      <c r="G48" s="1031">
        <f t="shared" si="3"/>
        <v>0</v>
      </c>
      <c r="H48" s="1031"/>
      <c r="I48" s="1031">
        <f t="shared" si="4"/>
        <v>0</v>
      </c>
      <c r="J48" s="1031">
        <f t="shared" si="4"/>
        <v>0</v>
      </c>
      <c r="K48" s="1031">
        <f t="shared" si="4"/>
        <v>0</v>
      </c>
      <c r="L48" s="1031"/>
      <c r="M48" s="839"/>
      <c r="N48" s="839"/>
      <c r="O48" s="839"/>
      <c r="P48" s="1031"/>
      <c r="Q48" s="839"/>
      <c r="R48" s="839"/>
      <c r="S48" s="839"/>
    </row>
    <row r="49" spans="1:19" hidden="1">
      <c r="A49" s="1062">
        <f t="shared" si="5"/>
        <v>5.2199999999999953</v>
      </c>
      <c r="B49" s="839"/>
      <c r="C49" s="1031">
        <f t="shared" ref="C49:C55" si="8">SUM(M49:O49)</f>
        <v>0</v>
      </c>
      <c r="D49" s="1031">
        <f t="shared" ref="D49:D55" si="9">SUM(Q49:S49)</f>
        <v>0</v>
      </c>
      <c r="E49" s="1031"/>
      <c r="F49" s="1031"/>
      <c r="G49" s="1031">
        <f t="shared" si="3"/>
        <v>0</v>
      </c>
      <c r="H49" s="1031"/>
      <c r="I49" s="1031">
        <f t="shared" si="4"/>
        <v>0</v>
      </c>
      <c r="J49" s="1031">
        <f t="shared" si="4"/>
        <v>0</v>
      </c>
      <c r="K49" s="1031">
        <f t="shared" si="4"/>
        <v>0</v>
      </c>
      <c r="L49" s="1031"/>
      <c r="M49" s="839"/>
      <c r="N49" s="839"/>
      <c r="O49" s="839"/>
      <c r="P49" s="1031"/>
      <c r="Q49" s="839"/>
      <c r="R49" s="839"/>
      <c r="S49" s="839"/>
    </row>
    <row r="50" spans="1:19" hidden="1">
      <c r="A50" s="1062">
        <f t="shared" si="5"/>
        <v>5.2299999999999951</v>
      </c>
      <c r="B50" s="839"/>
      <c r="C50" s="1031">
        <f t="shared" si="8"/>
        <v>0</v>
      </c>
      <c r="D50" s="1031">
        <f t="shared" si="9"/>
        <v>0</v>
      </c>
      <c r="E50" s="1031"/>
      <c r="F50" s="1031"/>
      <c r="G50" s="1031">
        <f t="shared" si="3"/>
        <v>0</v>
      </c>
      <c r="H50" s="1031"/>
      <c r="I50" s="1031">
        <f t="shared" si="4"/>
        <v>0</v>
      </c>
      <c r="J50" s="1031">
        <f t="shared" si="4"/>
        <v>0</v>
      </c>
      <c r="K50" s="1031">
        <f t="shared" si="4"/>
        <v>0</v>
      </c>
      <c r="L50" s="1031"/>
      <c r="M50" s="839"/>
      <c r="N50" s="839"/>
      <c r="O50" s="839"/>
      <c r="P50" s="1031"/>
      <c r="Q50" s="839"/>
      <c r="R50" s="839"/>
      <c r="S50" s="839"/>
    </row>
    <row r="51" spans="1:19" hidden="1">
      <c r="A51" s="1062">
        <f t="shared" si="5"/>
        <v>5.2399999999999949</v>
      </c>
      <c r="B51" s="839"/>
      <c r="C51" s="1031">
        <f t="shared" si="8"/>
        <v>0</v>
      </c>
      <c r="D51" s="1031">
        <f t="shared" si="9"/>
        <v>0</v>
      </c>
      <c r="E51" s="1031"/>
      <c r="F51" s="1031"/>
      <c r="G51" s="1031">
        <f>ROUND(SUM(C51:F51)/2,0)</f>
        <v>0</v>
      </c>
      <c r="H51" s="1031"/>
      <c r="I51" s="1031">
        <f t="shared" si="4"/>
        <v>0</v>
      </c>
      <c r="J51" s="1031">
        <f t="shared" si="4"/>
        <v>0</v>
      </c>
      <c r="K51" s="1031">
        <f t="shared" si="4"/>
        <v>0</v>
      </c>
      <c r="L51" s="1031"/>
      <c r="M51" s="839"/>
      <c r="N51" s="839"/>
      <c r="O51" s="839"/>
      <c r="P51" s="1031"/>
      <c r="Q51" s="839"/>
      <c r="R51" s="839"/>
      <c r="S51" s="839"/>
    </row>
    <row r="52" spans="1:19" hidden="1">
      <c r="A52" s="1062">
        <f t="shared" si="5"/>
        <v>5.2499999999999947</v>
      </c>
      <c r="B52" s="839"/>
      <c r="C52" s="1031">
        <f t="shared" si="8"/>
        <v>0</v>
      </c>
      <c r="D52" s="1031">
        <f t="shared" si="9"/>
        <v>0</v>
      </c>
      <c r="E52" s="1031"/>
      <c r="F52" s="1031"/>
      <c r="G52" s="1031">
        <f>ROUND(SUM(C52:F52)/2,0)</f>
        <v>0</v>
      </c>
      <c r="H52" s="1031"/>
      <c r="I52" s="1031">
        <f t="shared" si="4"/>
        <v>0</v>
      </c>
      <c r="J52" s="1031">
        <f t="shared" si="4"/>
        <v>0</v>
      </c>
      <c r="K52" s="1031">
        <f t="shared" si="4"/>
        <v>0</v>
      </c>
      <c r="L52" s="1031"/>
      <c r="M52" s="839"/>
      <c r="N52" s="839"/>
      <c r="O52" s="839"/>
      <c r="P52" s="1031"/>
      <c r="Q52" s="839"/>
      <c r="R52" s="839"/>
      <c r="S52" s="839"/>
    </row>
    <row r="53" spans="1:19" hidden="1">
      <c r="A53" s="1062">
        <f t="shared" si="5"/>
        <v>5.2599999999999945</v>
      </c>
      <c r="B53" s="839"/>
      <c r="C53" s="1031">
        <f t="shared" si="8"/>
        <v>0</v>
      </c>
      <c r="D53" s="1031">
        <f t="shared" si="9"/>
        <v>0</v>
      </c>
      <c r="E53" s="1031"/>
      <c r="F53" s="1031"/>
      <c r="G53" s="1031">
        <f>ROUND(SUM(C53:F53)/2,0)</f>
        <v>0</v>
      </c>
      <c r="H53" s="1031"/>
      <c r="I53" s="1031">
        <f t="shared" si="4"/>
        <v>0</v>
      </c>
      <c r="J53" s="1031">
        <f t="shared" si="4"/>
        <v>0</v>
      </c>
      <c r="K53" s="1031">
        <f t="shared" si="4"/>
        <v>0</v>
      </c>
      <c r="L53" s="1031"/>
      <c r="M53" s="839"/>
      <c r="N53" s="839"/>
      <c r="O53" s="839"/>
      <c r="P53" s="1031"/>
      <c r="Q53" s="839"/>
      <c r="R53" s="839"/>
      <c r="S53" s="839"/>
    </row>
    <row r="54" spans="1:19" hidden="1">
      <c r="A54" s="1062">
        <f t="shared" si="5"/>
        <v>5.2699999999999942</v>
      </c>
      <c r="B54" s="839"/>
      <c r="C54" s="1031">
        <f t="shared" si="8"/>
        <v>0</v>
      </c>
      <c r="D54" s="1031">
        <f t="shared" si="9"/>
        <v>0</v>
      </c>
      <c r="E54" s="1031"/>
      <c r="F54" s="1031"/>
      <c r="G54" s="1031">
        <f>ROUND(SUM(C54:F54)/2,0)</f>
        <v>0</v>
      </c>
      <c r="H54" s="1031"/>
      <c r="I54" s="1031">
        <f t="shared" si="4"/>
        <v>0</v>
      </c>
      <c r="J54" s="1031">
        <f t="shared" si="4"/>
        <v>0</v>
      </c>
      <c r="K54" s="1031">
        <f t="shared" si="4"/>
        <v>0</v>
      </c>
      <c r="L54" s="1031"/>
      <c r="M54" s="839"/>
      <c r="N54" s="839"/>
      <c r="O54" s="839"/>
      <c r="P54" s="1031"/>
      <c r="Q54" s="839"/>
      <c r="R54" s="839"/>
      <c r="S54" s="839"/>
    </row>
    <row r="55" spans="1:19" hidden="1">
      <c r="A55" s="1062">
        <f t="shared" si="5"/>
        <v>5.279999999999994</v>
      </c>
      <c r="B55" s="839"/>
      <c r="C55" s="1031">
        <f t="shared" si="8"/>
        <v>0</v>
      </c>
      <c r="D55" s="1031">
        <f t="shared" si="9"/>
        <v>0</v>
      </c>
      <c r="E55" s="1031"/>
      <c r="F55" s="1031"/>
      <c r="G55" s="1031">
        <f>ROUND(SUM(C55:F55)/2,0)</f>
        <v>0</v>
      </c>
      <c r="H55" s="1031"/>
      <c r="I55" s="1031">
        <f t="shared" si="4"/>
        <v>0</v>
      </c>
      <c r="J55" s="1031">
        <f t="shared" si="4"/>
        <v>0</v>
      </c>
      <c r="K55" s="1031">
        <f t="shared" si="4"/>
        <v>0</v>
      </c>
      <c r="L55" s="1031"/>
      <c r="M55" s="839"/>
      <c r="N55" s="839"/>
      <c r="O55" s="839"/>
      <c r="P55" s="1031"/>
      <c r="Q55" s="839"/>
      <c r="R55" s="839"/>
      <c r="S55" s="839"/>
    </row>
    <row r="56" spans="1:19" hidden="1">
      <c r="A56" s="1062">
        <f t="shared" si="5"/>
        <v>5.2899999999999938</v>
      </c>
      <c r="B56" s="839"/>
      <c r="C56" s="1031">
        <f t="shared" si="1"/>
        <v>0</v>
      </c>
      <c r="D56" s="1031">
        <f t="shared" si="2"/>
        <v>0</v>
      </c>
      <c r="E56" s="1031"/>
      <c r="F56" s="1031"/>
      <c r="G56" s="1031">
        <f t="shared" ref="G56:G68" si="10">ROUND(SUM(C56:F56)/2,0)</f>
        <v>0</v>
      </c>
      <c r="H56" s="1031"/>
      <c r="I56" s="1031">
        <f t="shared" si="4"/>
        <v>0</v>
      </c>
      <c r="J56" s="1031">
        <f t="shared" si="4"/>
        <v>0</v>
      </c>
      <c r="K56" s="1031">
        <f t="shared" si="4"/>
        <v>0</v>
      </c>
      <c r="L56" s="1031"/>
      <c r="M56" s="839"/>
      <c r="N56" s="839"/>
      <c r="O56" s="839"/>
      <c r="P56" s="1031"/>
      <c r="Q56" s="839"/>
      <c r="R56" s="839"/>
      <c r="S56" s="839"/>
    </row>
    <row r="57" spans="1:19" hidden="1">
      <c r="A57" s="1062">
        <f t="shared" si="5"/>
        <v>5.2999999999999936</v>
      </c>
      <c r="B57" s="839"/>
      <c r="C57" s="1031">
        <f t="shared" si="1"/>
        <v>0</v>
      </c>
      <c r="D57" s="1031">
        <f t="shared" si="2"/>
        <v>0</v>
      </c>
      <c r="E57" s="1031"/>
      <c r="F57" s="1031"/>
      <c r="G57" s="1031">
        <f t="shared" si="10"/>
        <v>0</v>
      </c>
      <c r="H57" s="1031"/>
      <c r="I57" s="1031">
        <f t="shared" si="4"/>
        <v>0</v>
      </c>
      <c r="J57" s="1031">
        <f t="shared" si="4"/>
        <v>0</v>
      </c>
      <c r="K57" s="1031">
        <f t="shared" si="4"/>
        <v>0</v>
      </c>
      <c r="L57" s="1031"/>
      <c r="M57" s="839"/>
      <c r="N57" s="839"/>
      <c r="O57" s="839"/>
      <c r="P57" s="1031"/>
      <c r="Q57" s="839"/>
      <c r="R57" s="839"/>
      <c r="S57" s="839"/>
    </row>
    <row r="58" spans="1:19" hidden="1">
      <c r="A58" s="1062">
        <f t="shared" si="5"/>
        <v>5.3099999999999934</v>
      </c>
      <c r="B58" s="839"/>
      <c r="C58" s="1031">
        <f>SUM(M58:O58)</f>
        <v>0</v>
      </c>
      <c r="D58" s="1031">
        <f>SUM(Q58:S58)</f>
        <v>0</v>
      </c>
      <c r="E58" s="1031"/>
      <c r="F58" s="1031"/>
      <c r="G58" s="1031">
        <f>ROUND(SUM(C58:F58)/2,0)</f>
        <v>0</v>
      </c>
      <c r="H58" s="1031"/>
      <c r="I58" s="1031">
        <f t="shared" si="4"/>
        <v>0</v>
      </c>
      <c r="J58" s="1031">
        <f t="shared" si="4"/>
        <v>0</v>
      </c>
      <c r="K58" s="1031">
        <f t="shared" si="4"/>
        <v>0</v>
      </c>
      <c r="L58" s="1031"/>
      <c r="M58" s="839"/>
      <c r="N58" s="839"/>
      <c r="O58" s="839"/>
      <c r="P58" s="1031"/>
      <c r="Q58" s="839"/>
      <c r="R58" s="839"/>
      <c r="S58" s="839"/>
    </row>
    <row r="59" spans="1:19" hidden="1">
      <c r="A59" s="1062">
        <f t="shared" si="5"/>
        <v>5.3199999999999932</v>
      </c>
      <c r="B59" s="839"/>
      <c r="C59" s="1031">
        <f t="shared" si="1"/>
        <v>0</v>
      </c>
      <c r="D59" s="1031">
        <f t="shared" si="2"/>
        <v>0</v>
      </c>
      <c r="E59" s="1031"/>
      <c r="F59" s="1031"/>
      <c r="G59" s="1031">
        <f t="shared" si="10"/>
        <v>0</v>
      </c>
      <c r="H59" s="1031"/>
      <c r="I59" s="1031">
        <f t="shared" si="4"/>
        <v>0</v>
      </c>
      <c r="J59" s="1031">
        <f t="shared" si="4"/>
        <v>0</v>
      </c>
      <c r="K59" s="1031">
        <f t="shared" si="4"/>
        <v>0</v>
      </c>
      <c r="L59" s="1031"/>
      <c r="M59" s="839"/>
      <c r="N59" s="839"/>
      <c r="O59" s="839"/>
      <c r="P59" s="1031"/>
      <c r="Q59" s="839"/>
      <c r="R59" s="839"/>
      <c r="S59" s="839"/>
    </row>
    <row r="60" spans="1:19" hidden="1">
      <c r="A60" s="1062">
        <f t="shared" si="5"/>
        <v>5.329999999999993</v>
      </c>
      <c r="B60" s="839"/>
      <c r="C60" s="1031">
        <f t="shared" si="1"/>
        <v>0</v>
      </c>
      <c r="D60" s="1031">
        <f t="shared" si="2"/>
        <v>0</v>
      </c>
      <c r="E60" s="1031"/>
      <c r="F60" s="1031"/>
      <c r="G60" s="1031">
        <f t="shared" si="10"/>
        <v>0</v>
      </c>
      <c r="H60" s="1031"/>
      <c r="I60" s="1031">
        <f t="shared" si="4"/>
        <v>0</v>
      </c>
      <c r="J60" s="1031">
        <f t="shared" si="4"/>
        <v>0</v>
      </c>
      <c r="K60" s="1031">
        <f t="shared" si="4"/>
        <v>0</v>
      </c>
      <c r="L60" s="1031"/>
      <c r="M60" s="839"/>
      <c r="N60" s="839"/>
      <c r="O60" s="839"/>
      <c r="P60" s="1031"/>
      <c r="Q60" s="839"/>
      <c r="R60" s="839"/>
      <c r="S60" s="839"/>
    </row>
    <row r="61" spans="1:19" hidden="1">
      <c r="A61" s="1062">
        <f t="shared" si="5"/>
        <v>5.3399999999999928</v>
      </c>
      <c r="B61" s="839"/>
      <c r="C61" s="1036">
        <f>SUM(M61:O61)</f>
        <v>0</v>
      </c>
      <c r="D61" s="1036">
        <f>SUM(Q61:S61)</f>
        <v>0</v>
      </c>
      <c r="E61" s="1036"/>
      <c r="F61" s="1036"/>
      <c r="G61" s="1036">
        <f>ROUND(SUM(C61:F61)/2,0)</f>
        <v>0</v>
      </c>
      <c r="H61" s="1036"/>
      <c r="I61" s="1036">
        <f t="shared" si="4"/>
        <v>0</v>
      </c>
      <c r="J61" s="1036">
        <f t="shared" si="4"/>
        <v>0</v>
      </c>
      <c r="K61" s="1036">
        <f t="shared" si="4"/>
        <v>0</v>
      </c>
      <c r="L61" s="1036"/>
      <c r="M61" s="839"/>
      <c r="N61" s="839"/>
      <c r="O61" s="839"/>
      <c r="P61" s="1036"/>
      <c r="Q61" s="839"/>
      <c r="R61" s="839"/>
      <c r="S61" s="839"/>
    </row>
    <row r="62" spans="1:19" hidden="1">
      <c r="A62" s="1062">
        <f t="shared" si="5"/>
        <v>5.3499999999999925</v>
      </c>
      <c r="B62" s="839"/>
      <c r="C62" s="1036">
        <f t="shared" si="1"/>
        <v>0</v>
      </c>
      <c r="D62" s="1036">
        <f t="shared" si="2"/>
        <v>0</v>
      </c>
      <c r="E62" s="1036"/>
      <c r="F62" s="1036"/>
      <c r="G62" s="1036">
        <f t="shared" si="10"/>
        <v>0</v>
      </c>
      <c r="H62" s="1036"/>
      <c r="I62" s="1036">
        <f t="shared" si="4"/>
        <v>0</v>
      </c>
      <c r="J62" s="1036">
        <f t="shared" si="4"/>
        <v>0</v>
      </c>
      <c r="K62" s="1036">
        <f t="shared" si="4"/>
        <v>0</v>
      </c>
      <c r="L62" s="1036"/>
      <c r="M62" s="839"/>
      <c r="N62" s="839"/>
      <c r="O62" s="839"/>
      <c r="P62" s="1036"/>
      <c r="Q62" s="839"/>
      <c r="R62" s="839"/>
      <c r="S62" s="839"/>
    </row>
    <row r="63" spans="1:19" hidden="1">
      <c r="A63" s="1062">
        <f t="shared" si="5"/>
        <v>5.3599999999999923</v>
      </c>
      <c r="B63" s="839"/>
      <c r="C63" s="1031">
        <f t="shared" si="1"/>
        <v>0</v>
      </c>
      <c r="D63" s="1031">
        <f t="shared" si="2"/>
        <v>0</v>
      </c>
      <c r="E63" s="1031"/>
      <c r="F63" s="1031"/>
      <c r="G63" s="1031">
        <f t="shared" si="10"/>
        <v>0</v>
      </c>
      <c r="H63" s="1031"/>
      <c r="I63" s="1031">
        <f t="shared" si="4"/>
        <v>0</v>
      </c>
      <c r="J63" s="1031">
        <f t="shared" si="4"/>
        <v>0</v>
      </c>
      <c r="K63" s="1031">
        <f t="shared" si="4"/>
        <v>0</v>
      </c>
      <c r="L63" s="1031"/>
      <c r="M63" s="839"/>
      <c r="N63" s="839"/>
      <c r="O63" s="839"/>
      <c r="P63" s="1031"/>
      <c r="Q63" s="839"/>
      <c r="R63" s="839"/>
      <c r="S63" s="839"/>
    </row>
    <row r="64" spans="1:19" hidden="1">
      <c r="A64" s="1062">
        <f t="shared" si="5"/>
        <v>5.3699999999999921</v>
      </c>
      <c r="B64" s="839"/>
      <c r="C64" s="1031">
        <f t="shared" si="1"/>
        <v>0</v>
      </c>
      <c r="D64" s="1031">
        <f t="shared" si="2"/>
        <v>0</v>
      </c>
      <c r="E64" s="1031"/>
      <c r="F64" s="1031"/>
      <c r="G64" s="1031">
        <f t="shared" si="10"/>
        <v>0</v>
      </c>
      <c r="H64" s="1031"/>
      <c r="I64" s="1031">
        <f t="shared" si="4"/>
        <v>0</v>
      </c>
      <c r="J64" s="1031">
        <f t="shared" si="4"/>
        <v>0</v>
      </c>
      <c r="K64" s="1031">
        <f t="shared" si="4"/>
        <v>0</v>
      </c>
      <c r="L64" s="1031"/>
      <c r="M64" s="839"/>
      <c r="N64" s="839"/>
      <c r="O64" s="839"/>
      <c r="P64" s="1031"/>
      <c r="Q64" s="839"/>
      <c r="R64" s="839"/>
      <c r="S64" s="839"/>
    </row>
    <row r="65" spans="1:19">
      <c r="A65" s="1062">
        <f t="shared" si="5"/>
        <v>5.3799999999999919</v>
      </c>
      <c r="B65" s="839"/>
      <c r="C65" s="1031">
        <f>SUM(M65:O65)</f>
        <v>0</v>
      </c>
      <c r="D65" s="1031">
        <f>SUM(Q65:S65)</f>
        <v>0</v>
      </c>
      <c r="E65" s="1031"/>
      <c r="F65" s="1031"/>
      <c r="G65" s="1031">
        <f>ROUND(SUM(C65:F65)/2,0)</f>
        <v>0</v>
      </c>
      <c r="H65" s="1031"/>
      <c r="I65" s="1031">
        <f t="shared" si="4"/>
        <v>0</v>
      </c>
      <c r="J65" s="1031">
        <f t="shared" si="4"/>
        <v>0</v>
      </c>
      <c r="K65" s="1031">
        <f t="shared" si="4"/>
        <v>0</v>
      </c>
      <c r="L65" s="1031"/>
      <c r="M65" s="839"/>
      <c r="N65" s="839"/>
      <c r="O65" s="839"/>
      <c r="P65" s="1031"/>
      <c r="Q65" s="839"/>
      <c r="R65" s="839"/>
      <c r="S65" s="839"/>
    </row>
    <row r="66" spans="1:19">
      <c r="A66" s="1062">
        <f t="shared" si="5"/>
        <v>5.3899999999999917</v>
      </c>
      <c r="B66" s="839"/>
      <c r="C66" s="839"/>
      <c r="D66" s="839"/>
      <c r="E66" s="1031">
        <f t="shared" ref="E66:F68" si="11">-C66</f>
        <v>0</v>
      </c>
      <c r="F66" s="1031">
        <f t="shared" si="11"/>
        <v>0</v>
      </c>
      <c r="G66" s="1031">
        <f t="shared" si="10"/>
        <v>0</v>
      </c>
      <c r="H66" s="1031"/>
      <c r="I66" s="1031"/>
      <c r="J66" s="1031"/>
      <c r="K66" s="1031"/>
      <c r="L66" s="1031"/>
      <c r="M66" s="1031"/>
      <c r="N66" s="1031"/>
      <c r="O66" s="1031"/>
      <c r="P66" s="1031"/>
      <c r="Q66" s="1031"/>
      <c r="R66" s="1031"/>
      <c r="S66" s="1031"/>
    </row>
    <row r="67" spans="1:19">
      <c r="A67" s="1062">
        <f t="shared" si="5"/>
        <v>5.3999999999999915</v>
      </c>
      <c r="B67" s="839"/>
      <c r="C67" s="839"/>
      <c r="D67" s="839"/>
      <c r="E67" s="1031">
        <f t="shared" si="11"/>
        <v>0</v>
      </c>
      <c r="F67" s="1031">
        <f t="shared" si="11"/>
        <v>0</v>
      </c>
      <c r="G67" s="1031">
        <f t="shared" si="10"/>
        <v>0</v>
      </c>
      <c r="H67" s="1031"/>
      <c r="I67" s="1031"/>
      <c r="J67" s="1031"/>
      <c r="K67" s="1031"/>
      <c r="L67" s="1031"/>
      <c r="M67" s="1031"/>
      <c r="N67" s="1031"/>
      <c r="O67" s="1031"/>
      <c r="P67" s="1031"/>
      <c r="Q67" s="1031"/>
      <c r="R67" s="1031"/>
      <c r="S67" s="1031"/>
    </row>
    <row r="68" spans="1:19">
      <c r="A68" s="1062">
        <f t="shared" si="5"/>
        <v>5.4099999999999913</v>
      </c>
      <c r="B68" s="839"/>
      <c r="C68" s="839"/>
      <c r="D68" s="839"/>
      <c r="E68" s="1031">
        <f t="shared" si="11"/>
        <v>0</v>
      </c>
      <c r="F68" s="1031">
        <f t="shared" si="11"/>
        <v>0</v>
      </c>
      <c r="G68" s="1031">
        <f t="shared" si="10"/>
        <v>0</v>
      </c>
      <c r="H68" s="1031"/>
      <c r="I68" s="1031"/>
      <c r="J68" s="1031"/>
      <c r="K68" s="1031"/>
      <c r="L68" s="1031"/>
      <c r="M68" s="1031"/>
      <c r="N68" s="1031"/>
      <c r="O68" s="1031"/>
      <c r="P68" s="1031"/>
      <c r="Q68" s="1031"/>
      <c r="R68" s="1031"/>
      <c r="S68" s="1031"/>
    </row>
    <row r="69" spans="1:19">
      <c r="A69"/>
    </row>
    <row r="70" spans="1:19">
      <c r="A70" s="1042"/>
      <c r="B70" s="1021"/>
      <c r="C70" s="1031"/>
      <c r="D70" s="1031"/>
      <c r="E70" s="1031"/>
      <c r="F70" s="1031"/>
      <c r="G70" s="1031"/>
      <c r="H70" s="1031"/>
      <c r="I70" s="1031"/>
      <c r="J70" s="1031"/>
      <c r="K70" s="1031"/>
      <c r="L70" s="1031"/>
      <c r="M70" s="1031"/>
      <c r="N70" s="1031"/>
      <c r="O70" s="1031"/>
      <c r="P70" s="1031"/>
      <c r="Q70" s="1031"/>
      <c r="R70" s="1031"/>
      <c r="S70" s="1031"/>
    </row>
    <row r="71" spans="1:19" ht="13.5" thickBot="1">
      <c r="A71" s="1042">
        <v>6</v>
      </c>
      <c r="B71" s="1022" t="s">
        <v>719</v>
      </c>
      <c r="C71" s="1034">
        <f>SUM(C28:C70)</f>
        <v>0</v>
      </c>
      <c r="D71" s="1034">
        <f>SUM(D28:D70)</f>
        <v>0</v>
      </c>
      <c r="E71" s="1034">
        <f>SUM(E28:E70)</f>
        <v>0</v>
      </c>
      <c r="F71" s="1034">
        <f>SUM(F28:F70)</f>
        <v>0</v>
      </c>
      <c r="G71" s="1034">
        <f>SUM(G28:G70)</f>
        <v>0</v>
      </c>
      <c r="H71" s="1031"/>
      <c r="I71" s="1034">
        <f>SUM(I28:I70)</f>
        <v>0</v>
      </c>
      <c r="J71" s="1034">
        <f>SUM(J28:J70)</f>
        <v>0</v>
      </c>
      <c r="K71" s="1034">
        <f>SUM(K28:K70)</f>
        <v>0</v>
      </c>
      <c r="L71" s="1031"/>
      <c r="M71" s="1034">
        <f>SUM(M28:M70)</f>
        <v>0</v>
      </c>
      <c r="N71" s="1034">
        <f>SUM(N28:N70)</f>
        <v>0</v>
      </c>
      <c r="O71" s="1034">
        <f>SUM(O28:O70)</f>
        <v>0</v>
      </c>
      <c r="P71" s="1031"/>
      <c r="Q71" s="1034">
        <f>SUM(Q28:Q70)</f>
        <v>0</v>
      </c>
      <c r="R71" s="1034">
        <f>SUM(R28:R70)</f>
        <v>0</v>
      </c>
      <c r="S71" s="1034">
        <f>SUM(S28:S70)</f>
        <v>0</v>
      </c>
    </row>
    <row r="72" spans="1:19" ht="13.5" thickTop="1">
      <c r="A72" s="1042">
        <f>A71+1</f>
        <v>7</v>
      </c>
      <c r="B72" s="1109" t="s">
        <v>732</v>
      </c>
      <c r="C72" s="1035">
        <f>SUM(C34,C35,C61,C62)</f>
        <v>0</v>
      </c>
      <c r="D72" s="1035">
        <f>SUM(D34,D35,D61,D62)</f>
        <v>0</v>
      </c>
      <c r="E72" s="1035">
        <f>SUM(E34,E35,E61,E62)</f>
        <v>0</v>
      </c>
      <c r="F72" s="1035">
        <f>SUM(F34,F35,F61,F62)</f>
        <v>0</v>
      </c>
      <c r="G72" s="1035">
        <f>SUM(G34,G35,G61,G62)</f>
        <v>0</v>
      </c>
      <c r="H72" s="1031"/>
      <c r="I72" s="1035">
        <f>SUM(I34,I35,I61,I62)</f>
        <v>0</v>
      </c>
      <c r="J72" s="1035">
        <f>SUM(J34,J35,J61,J62)</f>
        <v>0</v>
      </c>
      <c r="K72" s="1035">
        <f>SUM(K34,K35,K61,K62)</f>
        <v>0</v>
      </c>
      <c r="L72" s="1035"/>
      <c r="M72" s="1035">
        <f>SUM(M34,M35,M61,M62)</f>
        <v>0</v>
      </c>
      <c r="N72" s="1035">
        <f>SUM(N34,N35,N61,N62)</f>
        <v>0</v>
      </c>
      <c r="O72" s="1035">
        <f>SUM(O34,O35,O61,O62)</f>
        <v>0</v>
      </c>
      <c r="P72" s="1031"/>
      <c r="Q72" s="1035">
        <f>SUM(Q34,Q35,Q61,Q62)</f>
        <v>0</v>
      </c>
      <c r="R72" s="1035">
        <f>SUM(R34,R35,R61,R62)</f>
        <v>0</v>
      </c>
      <c r="S72" s="1035">
        <f>SUM(S34,S35,S61,S62)</f>
        <v>0</v>
      </c>
    </row>
    <row r="73" spans="1:19">
      <c r="A73" s="1042"/>
      <c r="B73" s="1022"/>
      <c r="C73" s="1031"/>
      <c r="D73" s="1037"/>
      <c r="E73" s="1031"/>
      <c r="F73" s="1031"/>
      <c r="G73" s="1031"/>
      <c r="H73" s="1031"/>
      <c r="I73" s="1031"/>
      <c r="J73" s="1031"/>
      <c r="K73" s="1031"/>
      <c r="L73" s="1031"/>
      <c r="M73" s="1031"/>
      <c r="N73" s="1031"/>
      <c r="O73" s="1031"/>
      <c r="P73" s="1031"/>
      <c r="Q73" s="1031"/>
      <c r="R73" s="1031"/>
      <c r="S73" s="1031"/>
    </row>
    <row r="74" spans="1:19">
      <c r="A74" s="1042">
        <v>8</v>
      </c>
      <c r="B74" s="264" t="s">
        <v>720</v>
      </c>
      <c r="C74" s="1031" t="s">
        <v>115</v>
      </c>
      <c r="D74" s="1031"/>
      <c r="E74" s="1031"/>
      <c r="F74" s="1031"/>
      <c r="G74" s="1031"/>
      <c r="H74" s="1031"/>
      <c r="I74" s="1031"/>
      <c r="J74" s="1031"/>
      <c r="K74" s="1031"/>
      <c r="L74" s="1031"/>
      <c r="M74" s="1031"/>
      <c r="N74" s="1031"/>
      <c r="O74" s="1031"/>
      <c r="P74" s="1031"/>
      <c r="Q74" s="1031"/>
      <c r="R74" s="1031"/>
      <c r="S74" s="1031"/>
    </row>
    <row r="75" spans="1:19">
      <c r="A75" s="1042"/>
      <c r="B75" s="1021"/>
      <c r="C75" s="1031"/>
      <c r="D75" s="1031"/>
      <c r="E75" s="1031"/>
      <c r="F75" s="1031"/>
      <c r="G75" s="1031"/>
      <c r="H75" s="1031"/>
      <c r="I75" s="1031"/>
      <c r="J75" s="1031"/>
      <c r="K75" s="1031"/>
      <c r="L75" s="1031"/>
      <c r="M75" s="1031"/>
      <c r="N75" s="1031"/>
      <c r="O75" s="1031"/>
      <c r="P75" s="1031"/>
      <c r="Q75" s="1031"/>
      <c r="R75" s="1031"/>
      <c r="S75" s="1031"/>
    </row>
    <row r="76" spans="1:19">
      <c r="A76" s="1062">
        <v>9.01</v>
      </c>
      <c r="B76" s="839"/>
      <c r="C76" s="1031">
        <f>SUM(M76:O76)</f>
        <v>0</v>
      </c>
      <c r="D76" s="1031">
        <f t="shared" ref="D76:D139" si="12">SUM(Q76:S76)</f>
        <v>0</v>
      </c>
      <c r="E76" s="1031"/>
      <c r="F76" s="1031"/>
      <c r="G76" s="1031">
        <f t="shared" ref="G76:G130" si="13">ROUND(SUM(C76:F76)/2,0)</f>
        <v>0</v>
      </c>
      <c r="H76" s="1031"/>
      <c r="I76" s="1031">
        <f>(M76+Q76)/2</f>
        <v>0</v>
      </c>
      <c r="J76" s="1031">
        <f>(N76+R76)/2</f>
        <v>0</v>
      </c>
      <c r="K76" s="1031">
        <f>(O76+S76)/2</f>
        <v>0</v>
      </c>
      <c r="L76" s="1031"/>
      <c r="M76" s="839"/>
      <c r="N76" s="839"/>
      <c r="O76" s="839"/>
      <c r="P76" s="1031"/>
      <c r="Q76" s="839"/>
      <c r="R76" s="839"/>
      <c r="S76" s="839"/>
    </row>
    <row r="77" spans="1:19">
      <c r="A77" s="1062">
        <f>A76+0.01</f>
        <v>9.02</v>
      </c>
      <c r="B77" s="839"/>
      <c r="C77" s="1031">
        <f t="shared" ref="C77:C140" si="14">SUM(M77:O77)</f>
        <v>0</v>
      </c>
      <c r="D77" s="1031">
        <f t="shared" si="12"/>
        <v>0</v>
      </c>
      <c r="E77" s="1031"/>
      <c r="F77" s="1031"/>
      <c r="G77" s="1031">
        <f>ROUND(SUM(C77:F77)/2,0)</f>
        <v>0</v>
      </c>
      <c r="H77" s="1031"/>
      <c r="I77" s="1031">
        <f t="shared" ref="I77:K136" si="15">(M77+Q77)/2</f>
        <v>0</v>
      </c>
      <c r="J77" s="1031">
        <f t="shared" si="15"/>
        <v>0</v>
      </c>
      <c r="K77" s="1031">
        <f t="shared" si="15"/>
        <v>0</v>
      </c>
      <c r="L77" s="1031"/>
      <c r="M77" s="839"/>
      <c r="N77" s="839"/>
      <c r="O77" s="839"/>
      <c r="P77" s="1031"/>
      <c r="Q77" s="839"/>
      <c r="R77" s="839"/>
      <c r="S77" s="839"/>
    </row>
    <row r="78" spans="1:19">
      <c r="A78" s="1062">
        <f t="shared" ref="A78:A141" si="16">A77+0.01</f>
        <v>9.0299999999999994</v>
      </c>
      <c r="B78" s="839"/>
      <c r="C78" s="1031">
        <f t="shared" si="14"/>
        <v>0</v>
      </c>
      <c r="D78" s="1031">
        <f t="shared" si="12"/>
        <v>0</v>
      </c>
      <c r="E78" s="1031"/>
      <c r="F78" s="1031"/>
      <c r="G78" s="1031">
        <f t="shared" si="13"/>
        <v>0</v>
      </c>
      <c r="H78" s="1031"/>
      <c r="I78" s="1031">
        <f t="shared" si="15"/>
        <v>0</v>
      </c>
      <c r="J78" s="1031">
        <f t="shared" si="15"/>
        <v>0</v>
      </c>
      <c r="K78" s="1031">
        <f t="shared" si="15"/>
        <v>0</v>
      </c>
      <c r="L78" s="1031"/>
      <c r="M78" s="839"/>
      <c r="N78" s="839"/>
      <c r="O78" s="839"/>
      <c r="P78" s="1031"/>
      <c r="Q78" s="839"/>
      <c r="R78" s="839"/>
      <c r="S78" s="839"/>
    </row>
    <row r="79" spans="1:19">
      <c r="A79" s="1062">
        <f t="shared" si="16"/>
        <v>9.0399999999999991</v>
      </c>
      <c r="B79" s="839"/>
      <c r="C79" s="1031">
        <f t="shared" si="14"/>
        <v>0</v>
      </c>
      <c r="D79" s="1031">
        <f t="shared" si="12"/>
        <v>0</v>
      </c>
      <c r="E79" s="1031"/>
      <c r="F79" s="1031"/>
      <c r="G79" s="1031">
        <f t="shared" si="13"/>
        <v>0</v>
      </c>
      <c r="H79" s="1031"/>
      <c r="I79" s="1031">
        <f t="shared" si="15"/>
        <v>0</v>
      </c>
      <c r="J79" s="1031">
        <f t="shared" si="15"/>
        <v>0</v>
      </c>
      <c r="K79" s="1031">
        <f t="shared" si="15"/>
        <v>0</v>
      </c>
      <c r="L79" s="1031"/>
      <c r="M79" s="839"/>
      <c r="N79" s="839"/>
      <c r="O79" s="839"/>
      <c r="P79" s="1031"/>
      <c r="Q79" s="839"/>
      <c r="R79" s="839"/>
      <c r="S79" s="839"/>
    </row>
    <row r="80" spans="1:19">
      <c r="A80" s="1062">
        <f t="shared" si="16"/>
        <v>9.0499999999999989</v>
      </c>
      <c r="B80" s="839"/>
      <c r="C80" s="1031">
        <f t="shared" si="14"/>
        <v>0</v>
      </c>
      <c r="D80" s="1031">
        <f t="shared" si="12"/>
        <v>0</v>
      </c>
      <c r="E80" s="1031"/>
      <c r="F80" s="1031"/>
      <c r="G80" s="1031">
        <f t="shared" si="13"/>
        <v>0</v>
      </c>
      <c r="H80" s="1031"/>
      <c r="I80" s="1031">
        <f t="shared" si="15"/>
        <v>0</v>
      </c>
      <c r="J80" s="1031">
        <f t="shared" si="15"/>
        <v>0</v>
      </c>
      <c r="K80" s="1031">
        <f t="shared" si="15"/>
        <v>0</v>
      </c>
      <c r="L80" s="1031"/>
      <c r="M80" s="839"/>
      <c r="N80" s="839"/>
      <c r="O80" s="839"/>
      <c r="P80" s="1031"/>
      <c r="Q80" s="839"/>
      <c r="R80" s="839"/>
      <c r="S80" s="839"/>
    </row>
    <row r="81" spans="1:19">
      <c r="A81" s="1062">
        <f t="shared" si="16"/>
        <v>9.0599999999999987</v>
      </c>
      <c r="B81" s="839"/>
      <c r="C81" s="1031">
        <f t="shared" si="14"/>
        <v>0</v>
      </c>
      <c r="D81" s="1031">
        <f t="shared" si="12"/>
        <v>0</v>
      </c>
      <c r="E81" s="1031"/>
      <c r="F81" s="1031"/>
      <c r="G81" s="1031">
        <f t="shared" si="13"/>
        <v>0</v>
      </c>
      <c r="H81" s="1031"/>
      <c r="I81" s="1031">
        <f t="shared" si="15"/>
        <v>0</v>
      </c>
      <c r="J81" s="1031">
        <f t="shared" si="15"/>
        <v>0</v>
      </c>
      <c r="K81" s="1031">
        <f t="shared" si="15"/>
        <v>0</v>
      </c>
      <c r="L81" s="1031"/>
      <c r="M81" s="839"/>
      <c r="N81" s="839"/>
      <c r="O81" s="839"/>
      <c r="P81" s="1031"/>
      <c r="Q81" s="839"/>
      <c r="R81" s="839"/>
      <c r="S81" s="839"/>
    </row>
    <row r="82" spans="1:19">
      <c r="A82" s="1062">
        <f t="shared" si="16"/>
        <v>9.0699999999999985</v>
      </c>
      <c r="B82" s="839"/>
      <c r="C82" s="1031">
        <f t="shared" si="14"/>
        <v>0</v>
      </c>
      <c r="D82" s="1031">
        <f t="shared" si="12"/>
        <v>0</v>
      </c>
      <c r="E82" s="1031"/>
      <c r="F82" s="1031"/>
      <c r="G82" s="1031">
        <f>ROUND(SUM(C82:F82)/2,0)</f>
        <v>0</v>
      </c>
      <c r="H82" s="1031"/>
      <c r="I82" s="1031">
        <f t="shared" si="15"/>
        <v>0</v>
      </c>
      <c r="J82" s="1031">
        <f t="shared" si="15"/>
        <v>0</v>
      </c>
      <c r="K82" s="1031">
        <f t="shared" si="15"/>
        <v>0</v>
      </c>
      <c r="L82" s="1031"/>
      <c r="M82" s="839"/>
      <c r="N82" s="839"/>
      <c r="O82" s="839"/>
      <c r="P82" s="1031"/>
      <c r="Q82" s="839"/>
      <c r="R82" s="839"/>
      <c r="S82" s="839"/>
    </row>
    <row r="83" spans="1:19">
      <c r="A83" s="1062">
        <f t="shared" si="16"/>
        <v>9.0799999999999983</v>
      </c>
      <c r="B83" s="839"/>
      <c r="C83" s="1031">
        <f t="shared" si="14"/>
        <v>0</v>
      </c>
      <c r="D83" s="1031">
        <f t="shared" si="12"/>
        <v>0</v>
      </c>
      <c r="E83" s="1031"/>
      <c r="F83" s="1031"/>
      <c r="G83" s="1031">
        <f>ROUND(SUM(C83:F83)/2,0)</f>
        <v>0</v>
      </c>
      <c r="H83" s="1031"/>
      <c r="I83" s="1031">
        <f t="shared" si="15"/>
        <v>0</v>
      </c>
      <c r="J83" s="1031">
        <f t="shared" si="15"/>
        <v>0</v>
      </c>
      <c r="K83" s="1031">
        <f t="shared" si="15"/>
        <v>0</v>
      </c>
      <c r="L83" s="1031"/>
      <c r="M83" s="839"/>
      <c r="N83" s="839"/>
      <c r="O83" s="839"/>
      <c r="P83" s="1031"/>
      <c r="Q83" s="839"/>
      <c r="R83" s="839"/>
      <c r="S83" s="839"/>
    </row>
    <row r="84" spans="1:19">
      <c r="A84" s="1062">
        <f t="shared" si="16"/>
        <v>9.0899999999999981</v>
      </c>
      <c r="B84" s="839"/>
      <c r="C84" s="1031">
        <f t="shared" si="14"/>
        <v>0</v>
      </c>
      <c r="D84" s="1031">
        <f t="shared" si="12"/>
        <v>0</v>
      </c>
      <c r="E84" s="1031"/>
      <c r="F84" s="1031"/>
      <c r="G84" s="1031">
        <f t="shared" si="13"/>
        <v>0</v>
      </c>
      <c r="H84" s="1031"/>
      <c r="I84" s="1031">
        <f t="shared" si="15"/>
        <v>0</v>
      </c>
      <c r="J84" s="1031">
        <f t="shared" si="15"/>
        <v>0</v>
      </c>
      <c r="K84" s="1031">
        <f t="shared" si="15"/>
        <v>0</v>
      </c>
      <c r="L84" s="1031"/>
      <c r="M84" s="839"/>
      <c r="N84" s="839"/>
      <c r="O84" s="839"/>
      <c r="P84" s="1031"/>
      <c r="Q84" s="839"/>
      <c r="R84" s="839"/>
      <c r="S84" s="839"/>
    </row>
    <row r="85" spans="1:19">
      <c r="A85" s="1062">
        <f t="shared" si="16"/>
        <v>9.0999999999999979</v>
      </c>
      <c r="B85" s="839"/>
      <c r="C85" s="1031">
        <f t="shared" si="14"/>
        <v>0</v>
      </c>
      <c r="D85" s="1031">
        <f t="shared" si="12"/>
        <v>0</v>
      </c>
      <c r="E85" s="1031"/>
      <c r="F85" s="1031"/>
      <c r="G85" s="1031">
        <f>ROUND(SUM(C85:F85)/2,0)</f>
        <v>0</v>
      </c>
      <c r="H85" s="1031"/>
      <c r="I85" s="1031">
        <f t="shared" si="15"/>
        <v>0</v>
      </c>
      <c r="J85" s="1031">
        <f t="shared" si="15"/>
        <v>0</v>
      </c>
      <c r="K85" s="1031">
        <f t="shared" si="15"/>
        <v>0</v>
      </c>
      <c r="L85" s="1031"/>
      <c r="M85" s="839"/>
      <c r="N85" s="839"/>
      <c r="O85" s="839"/>
      <c r="P85" s="1031"/>
      <c r="Q85" s="839"/>
      <c r="R85" s="839"/>
      <c r="S85" s="839"/>
    </row>
    <row r="86" spans="1:19" hidden="1">
      <c r="A86" s="1062">
        <f t="shared" si="16"/>
        <v>9.1099999999999977</v>
      </c>
      <c r="B86" s="839"/>
      <c r="C86" s="1031">
        <f t="shared" si="14"/>
        <v>0</v>
      </c>
      <c r="D86" s="1031">
        <f t="shared" si="12"/>
        <v>0</v>
      </c>
      <c r="E86" s="1031"/>
      <c r="F86" s="1031"/>
      <c r="G86" s="1031">
        <f>ROUND(SUM(C86:F86)/2,0)</f>
        <v>0</v>
      </c>
      <c r="H86" s="1031"/>
      <c r="I86" s="1031">
        <f t="shared" si="15"/>
        <v>0</v>
      </c>
      <c r="J86" s="1031">
        <f t="shared" si="15"/>
        <v>0</v>
      </c>
      <c r="K86" s="1031">
        <f t="shared" si="15"/>
        <v>0</v>
      </c>
      <c r="L86" s="1031"/>
      <c r="M86" s="839"/>
      <c r="N86" s="839"/>
      <c r="O86" s="839"/>
      <c r="P86" s="1031"/>
      <c r="Q86" s="839"/>
      <c r="R86" s="839"/>
      <c r="S86" s="839"/>
    </row>
    <row r="87" spans="1:19" hidden="1">
      <c r="A87" s="1062">
        <f t="shared" si="16"/>
        <v>9.1199999999999974</v>
      </c>
      <c r="B87" s="839"/>
      <c r="C87" s="1031">
        <f t="shared" si="14"/>
        <v>0</v>
      </c>
      <c r="D87" s="1031">
        <f t="shared" si="12"/>
        <v>0</v>
      </c>
      <c r="E87" s="1031"/>
      <c r="F87" s="1031"/>
      <c r="G87" s="1031">
        <f t="shared" si="13"/>
        <v>0</v>
      </c>
      <c r="H87" s="1031"/>
      <c r="I87" s="1031">
        <f t="shared" si="15"/>
        <v>0</v>
      </c>
      <c r="J87" s="1031">
        <f t="shared" si="15"/>
        <v>0</v>
      </c>
      <c r="K87" s="1031">
        <f t="shared" si="15"/>
        <v>0</v>
      </c>
      <c r="L87" s="1031"/>
      <c r="M87" s="839"/>
      <c r="N87" s="839"/>
      <c r="O87" s="839"/>
      <c r="P87" s="1031"/>
      <c r="Q87" s="839"/>
      <c r="R87" s="839"/>
      <c r="S87" s="839"/>
    </row>
    <row r="88" spans="1:19" hidden="1">
      <c r="A88" s="1062">
        <f t="shared" si="16"/>
        <v>9.1299999999999972</v>
      </c>
      <c r="B88" s="839"/>
      <c r="C88" s="1031">
        <f t="shared" si="14"/>
        <v>0</v>
      </c>
      <c r="D88" s="1031">
        <f t="shared" si="12"/>
        <v>0</v>
      </c>
      <c r="E88" s="1031"/>
      <c r="F88" s="1031"/>
      <c r="G88" s="1031">
        <f t="shared" si="13"/>
        <v>0</v>
      </c>
      <c r="H88" s="1031"/>
      <c r="I88" s="1031">
        <f t="shared" si="15"/>
        <v>0</v>
      </c>
      <c r="J88" s="1031">
        <f t="shared" si="15"/>
        <v>0</v>
      </c>
      <c r="K88" s="1031">
        <f t="shared" si="15"/>
        <v>0</v>
      </c>
      <c r="L88" s="1031"/>
      <c r="M88" s="839"/>
      <c r="N88" s="839"/>
      <c r="O88" s="839"/>
      <c r="P88" s="1031"/>
      <c r="Q88" s="839"/>
      <c r="R88" s="839"/>
      <c r="S88" s="839"/>
    </row>
    <row r="89" spans="1:19" hidden="1">
      <c r="A89" s="1062">
        <f t="shared" si="16"/>
        <v>9.139999999999997</v>
      </c>
      <c r="B89" s="839"/>
      <c r="C89" s="1031">
        <f t="shared" si="14"/>
        <v>0</v>
      </c>
      <c r="D89" s="1031">
        <f t="shared" si="12"/>
        <v>0</v>
      </c>
      <c r="E89" s="1031"/>
      <c r="F89" s="1031"/>
      <c r="G89" s="1031">
        <f t="shared" si="13"/>
        <v>0</v>
      </c>
      <c r="H89" s="1031"/>
      <c r="I89" s="1031">
        <f t="shared" si="15"/>
        <v>0</v>
      </c>
      <c r="J89" s="1031">
        <f t="shared" si="15"/>
        <v>0</v>
      </c>
      <c r="K89" s="1031">
        <f t="shared" si="15"/>
        <v>0</v>
      </c>
      <c r="L89" s="1031"/>
      <c r="M89" s="839"/>
      <c r="N89" s="839"/>
      <c r="O89" s="839"/>
      <c r="P89" s="1031"/>
      <c r="Q89" s="839"/>
      <c r="R89" s="839"/>
      <c r="S89" s="839"/>
    </row>
    <row r="90" spans="1:19" hidden="1">
      <c r="A90" s="1062">
        <f t="shared" si="16"/>
        <v>9.1499999999999968</v>
      </c>
      <c r="B90" s="839"/>
      <c r="C90" s="1031">
        <f t="shared" si="14"/>
        <v>0</v>
      </c>
      <c r="D90" s="1031">
        <f t="shared" si="12"/>
        <v>0</v>
      </c>
      <c r="E90" s="1031"/>
      <c r="F90" s="1031"/>
      <c r="G90" s="1031">
        <f t="shared" si="13"/>
        <v>0</v>
      </c>
      <c r="H90" s="1031"/>
      <c r="I90" s="1031">
        <f t="shared" si="15"/>
        <v>0</v>
      </c>
      <c r="J90" s="1031">
        <f t="shared" si="15"/>
        <v>0</v>
      </c>
      <c r="K90" s="1031">
        <f t="shared" si="15"/>
        <v>0</v>
      </c>
      <c r="L90" s="1031"/>
      <c r="M90" s="839"/>
      <c r="N90" s="839"/>
      <c r="O90" s="839"/>
      <c r="P90" s="1031"/>
      <c r="Q90" s="839"/>
      <c r="R90" s="839"/>
      <c r="S90" s="839"/>
    </row>
    <row r="91" spans="1:19" hidden="1">
      <c r="A91" s="1062">
        <f t="shared" si="16"/>
        <v>9.1599999999999966</v>
      </c>
      <c r="B91" s="839"/>
      <c r="C91" s="1031">
        <f t="shared" si="14"/>
        <v>0</v>
      </c>
      <c r="D91" s="1031">
        <f t="shared" si="12"/>
        <v>0</v>
      </c>
      <c r="E91" s="1031"/>
      <c r="F91" s="1031"/>
      <c r="G91" s="1031">
        <f t="shared" si="13"/>
        <v>0</v>
      </c>
      <c r="H91" s="1031"/>
      <c r="I91" s="1031">
        <f t="shared" si="15"/>
        <v>0</v>
      </c>
      <c r="J91" s="1031">
        <f t="shared" si="15"/>
        <v>0</v>
      </c>
      <c r="K91" s="1031">
        <f t="shared" si="15"/>
        <v>0</v>
      </c>
      <c r="L91" s="1031"/>
      <c r="M91" s="839"/>
      <c r="N91" s="839"/>
      <c r="O91" s="839"/>
      <c r="P91" s="1031"/>
      <c r="Q91" s="839"/>
      <c r="R91" s="839"/>
      <c r="S91" s="839"/>
    </row>
    <row r="92" spans="1:19" hidden="1">
      <c r="A92" s="1062">
        <f t="shared" si="16"/>
        <v>9.1699999999999964</v>
      </c>
      <c r="B92" s="839"/>
      <c r="C92" s="1031">
        <f t="shared" si="14"/>
        <v>0</v>
      </c>
      <c r="D92" s="1031">
        <f t="shared" si="12"/>
        <v>0</v>
      </c>
      <c r="E92" s="1031"/>
      <c r="F92" s="1031"/>
      <c r="G92" s="1031">
        <f t="shared" si="13"/>
        <v>0</v>
      </c>
      <c r="H92" s="1031"/>
      <c r="I92" s="1031">
        <f t="shared" si="15"/>
        <v>0</v>
      </c>
      <c r="J92" s="1031">
        <f t="shared" si="15"/>
        <v>0</v>
      </c>
      <c r="K92" s="1031">
        <f t="shared" si="15"/>
        <v>0</v>
      </c>
      <c r="L92" s="1031"/>
      <c r="M92" s="839"/>
      <c r="N92" s="839"/>
      <c r="O92" s="839"/>
      <c r="P92" s="1031"/>
      <c r="Q92" s="839"/>
      <c r="R92" s="839"/>
      <c r="S92" s="839"/>
    </row>
    <row r="93" spans="1:19" hidden="1">
      <c r="A93" s="1062">
        <f t="shared" si="16"/>
        <v>9.1799999999999962</v>
      </c>
      <c r="B93" s="839"/>
      <c r="C93" s="1031">
        <f t="shared" si="14"/>
        <v>0</v>
      </c>
      <c r="D93" s="1031">
        <f t="shared" si="12"/>
        <v>0</v>
      </c>
      <c r="E93" s="1031"/>
      <c r="F93" s="1031"/>
      <c r="G93" s="1031">
        <f t="shared" si="13"/>
        <v>0</v>
      </c>
      <c r="H93" s="1031"/>
      <c r="I93" s="1031">
        <f t="shared" si="15"/>
        <v>0</v>
      </c>
      <c r="J93" s="1031">
        <f t="shared" si="15"/>
        <v>0</v>
      </c>
      <c r="K93" s="1031">
        <f t="shared" si="15"/>
        <v>0</v>
      </c>
      <c r="L93" s="1031"/>
      <c r="M93" s="839"/>
      <c r="N93" s="839"/>
      <c r="O93" s="839"/>
      <c r="P93" s="1031"/>
      <c r="Q93" s="839"/>
      <c r="R93" s="839"/>
      <c r="S93" s="839"/>
    </row>
    <row r="94" spans="1:19" hidden="1">
      <c r="A94" s="1062">
        <f t="shared" si="16"/>
        <v>9.1899999999999959</v>
      </c>
      <c r="B94" s="839"/>
      <c r="C94" s="1031">
        <f t="shared" si="14"/>
        <v>0</v>
      </c>
      <c r="D94" s="1031">
        <f t="shared" si="12"/>
        <v>0</v>
      </c>
      <c r="E94" s="1031"/>
      <c r="F94" s="1031"/>
      <c r="G94" s="1031">
        <f t="shared" si="13"/>
        <v>0</v>
      </c>
      <c r="H94" s="1031"/>
      <c r="I94" s="1031">
        <f t="shared" si="15"/>
        <v>0</v>
      </c>
      <c r="J94" s="1031">
        <f t="shared" si="15"/>
        <v>0</v>
      </c>
      <c r="K94" s="1031">
        <f t="shared" si="15"/>
        <v>0</v>
      </c>
      <c r="L94" s="1031"/>
      <c r="M94" s="839"/>
      <c r="N94" s="839"/>
      <c r="O94" s="839"/>
      <c r="P94" s="1031"/>
      <c r="Q94" s="839"/>
      <c r="R94" s="839"/>
      <c r="S94" s="839"/>
    </row>
    <row r="95" spans="1:19" hidden="1">
      <c r="A95" s="1062">
        <f t="shared" si="16"/>
        <v>9.1999999999999957</v>
      </c>
      <c r="B95" s="839"/>
      <c r="C95" s="1031">
        <f t="shared" si="14"/>
        <v>0</v>
      </c>
      <c r="D95" s="1031">
        <f t="shared" si="12"/>
        <v>0</v>
      </c>
      <c r="E95" s="1031"/>
      <c r="F95" s="1031"/>
      <c r="G95" s="1031">
        <f t="shared" si="13"/>
        <v>0</v>
      </c>
      <c r="H95" s="1031"/>
      <c r="I95" s="1031">
        <f t="shared" si="15"/>
        <v>0</v>
      </c>
      <c r="J95" s="1031">
        <f t="shared" si="15"/>
        <v>0</v>
      </c>
      <c r="K95" s="1031">
        <f t="shared" si="15"/>
        <v>0</v>
      </c>
      <c r="L95" s="1031"/>
      <c r="M95" s="839"/>
      <c r="N95" s="839"/>
      <c r="O95" s="839"/>
      <c r="P95" s="1031"/>
      <c r="Q95" s="839"/>
      <c r="R95" s="839"/>
      <c r="S95" s="839"/>
    </row>
    <row r="96" spans="1:19" hidden="1">
      <c r="A96" s="1062">
        <f t="shared" si="16"/>
        <v>9.2099999999999955</v>
      </c>
      <c r="B96" s="839"/>
      <c r="C96" s="1031">
        <f t="shared" si="14"/>
        <v>0</v>
      </c>
      <c r="D96" s="1031">
        <f t="shared" si="12"/>
        <v>0</v>
      </c>
      <c r="E96" s="1031"/>
      <c r="F96" s="1031"/>
      <c r="G96" s="1031">
        <f t="shared" si="13"/>
        <v>0</v>
      </c>
      <c r="H96" s="1031"/>
      <c r="I96" s="1031">
        <f t="shared" si="15"/>
        <v>0</v>
      </c>
      <c r="J96" s="1031">
        <f t="shared" si="15"/>
        <v>0</v>
      </c>
      <c r="K96" s="1031">
        <f t="shared" si="15"/>
        <v>0</v>
      </c>
      <c r="L96" s="1031"/>
      <c r="M96" s="839"/>
      <c r="N96" s="839"/>
      <c r="O96" s="839"/>
      <c r="P96" s="1031"/>
      <c r="Q96" s="839"/>
      <c r="R96" s="839"/>
      <c r="S96" s="839"/>
    </row>
    <row r="97" spans="1:19" hidden="1">
      <c r="A97" s="1062">
        <f t="shared" si="16"/>
        <v>9.2199999999999953</v>
      </c>
      <c r="B97" s="839"/>
      <c r="C97" s="1031">
        <f t="shared" si="14"/>
        <v>0</v>
      </c>
      <c r="D97" s="1031">
        <f t="shared" si="12"/>
        <v>0</v>
      </c>
      <c r="E97" s="1031"/>
      <c r="F97" s="1031"/>
      <c r="G97" s="1031">
        <f t="shared" si="13"/>
        <v>0</v>
      </c>
      <c r="H97" s="1031"/>
      <c r="I97" s="1031">
        <f t="shared" si="15"/>
        <v>0</v>
      </c>
      <c r="J97" s="1031">
        <f t="shared" si="15"/>
        <v>0</v>
      </c>
      <c r="K97" s="1031">
        <f t="shared" si="15"/>
        <v>0</v>
      </c>
      <c r="L97" s="1031"/>
      <c r="M97" s="839"/>
      <c r="N97" s="839"/>
      <c r="O97" s="839"/>
      <c r="P97" s="1031"/>
      <c r="Q97" s="839"/>
      <c r="R97" s="839"/>
      <c r="S97" s="839"/>
    </row>
    <row r="98" spans="1:19" hidden="1">
      <c r="A98" s="1062">
        <f t="shared" si="16"/>
        <v>9.2299999999999951</v>
      </c>
      <c r="B98" s="839"/>
      <c r="C98" s="1031">
        <f t="shared" si="14"/>
        <v>0</v>
      </c>
      <c r="D98" s="1031">
        <f t="shared" si="12"/>
        <v>0</v>
      </c>
      <c r="E98" s="1031"/>
      <c r="F98" s="1031"/>
      <c r="G98" s="1031">
        <f t="shared" si="13"/>
        <v>0</v>
      </c>
      <c r="H98" s="1031"/>
      <c r="I98" s="1031">
        <f t="shared" si="15"/>
        <v>0</v>
      </c>
      <c r="J98" s="1031">
        <f t="shared" si="15"/>
        <v>0</v>
      </c>
      <c r="K98" s="1031">
        <f t="shared" si="15"/>
        <v>0</v>
      </c>
      <c r="L98" s="1031"/>
      <c r="M98" s="839"/>
      <c r="N98" s="839"/>
      <c r="O98" s="839"/>
      <c r="P98" s="1031"/>
      <c r="Q98" s="839"/>
      <c r="R98" s="839"/>
      <c r="S98" s="839"/>
    </row>
    <row r="99" spans="1:19" hidden="1">
      <c r="A99" s="1062">
        <f t="shared" si="16"/>
        <v>9.2399999999999949</v>
      </c>
      <c r="B99" s="839"/>
      <c r="C99" s="1031">
        <f t="shared" si="14"/>
        <v>0</v>
      </c>
      <c r="D99" s="1031">
        <f t="shared" si="12"/>
        <v>0</v>
      </c>
      <c r="E99" s="1031"/>
      <c r="F99" s="1031"/>
      <c r="G99" s="1031">
        <f t="shared" si="13"/>
        <v>0</v>
      </c>
      <c r="H99" s="1031"/>
      <c r="I99" s="1031">
        <f t="shared" si="15"/>
        <v>0</v>
      </c>
      <c r="J99" s="1031">
        <f t="shared" si="15"/>
        <v>0</v>
      </c>
      <c r="K99" s="1031">
        <f t="shared" si="15"/>
        <v>0</v>
      </c>
      <c r="L99" s="1031"/>
      <c r="M99" s="839"/>
      <c r="N99" s="839"/>
      <c r="O99" s="839"/>
      <c r="P99" s="1031"/>
      <c r="Q99" s="839"/>
      <c r="R99" s="839"/>
      <c r="S99" s="839"/>
    </row>
    <row r="100" spans="1:19" hidden="1">
      <c r="A100" s="1062">
        <f t="shared" si="16"/>
        <v>9.2499999999999947</v>
      </c>
      <c r="B100" s="839"/>
      <c r="C100" s="1031">
        <f t="shared" si="14"/>
        <v>0</v>
      </c>
      <c r="D100" s="1031">
        <f t="shared" si="12"/>
        <v>0</v>
      </c>
      <c r="E100" s="1031"/>
      <c r="F100" s="1031"/>
      <c r="G100" s="1031">
        <f>ROUND(SUM(C100:F100)/2,0)</f>
        <v>0</v>
      </c>
      <c r="H100" s="1031"/>
      <c r="I100" s="1031">
        <f t="shared" si="15"/>
        <v>0</v>
      </c>
      <c r="J100" s="1031">
        <f t="shared" si="15"/>
        <v>0</v>
      </c>
      <c r="K100" s="1031">
        <f t="shared" si="15"/>
        <v>0</v>
      </c>
      <c r="L100" s="1031"/>
      <c r="M100" s="839"/>
      <c r="N100" s="839"/>
      <c r="O100" s="839"/>
      <c r="P100" s="1031"/>
      <c r="Q100" s="839"/>
      <c r="R100" s="839"/>
      <c r="S100" s="839"/>
    </row>
    <row r="101" spans="1:19" hidden="1">
      <c r="A101" s="1062">
        <f t="shared" si="16"/>
        <v>9.2599999999999945</v>
      </c>
      <c r="B101" s="839"/>
      <c r="C101" s="1031">
        <f t="shared" si="14"/>
        <v>0</v>
      </c>
      <c r="D101" s="1031">
        <f t="shared" si="12"/>
        <v>0</v>
      </c>
      <c r="E101" s="1031"/>
      <c r="F101" s="1031"/>
      <c r="G101" s="1031">
        <f t="shared" si="13"/>
        <v>0</v>
      </c>
      <c r="H101" s="1031"/>
      <c r="I101" s="1031">
        <f t="shared" si="15"/>
        <v>0</v>
      </c>
      <c r="J101" s="1031">
        <f t="shared" si="15"/>
        <v>0</v>
      </c>
      <c r="K101" s="1031">
        <f t="shared" si="15"/>
        <v>0</v>
      </c>
      <c r="L101" s="1031"/>
      <c r="M101" s="839"/>
      <c r="N101" s="839"/>
      <c r="O101" s="839"/>
      <c r="P101" s="1031"/>
      <c r="Q101" s="839"/>
      <c r="R101" s="839"/>
      <c r="S101" s="839"/>
    </row>
    <row r="102" spans="1:19" hidden="1">
      <c r="A102" s="1062">
        <f t="shared" si="16"/>
        <v>9.2699999999999942</v>
      </c>
      <c r="B102" s="839"/>
      <c r="C102" s="1031">
        <f t="shared" si="14"/>
        <v>0</v>
      </c>
      <c r="D102" s="1031">
        <f t="shared" si="12"/>
        <v>0</v>
      </c>
      <c r="E102" s="1031"/>
      <c r="F102" s="1031"/>
      <c r="G102" s="1031">
        <f t="shared" si="13"/>
        <v>0</v>
      </c>
      <c r="H102" s="1031"/>
      <c r="I102" s="1031">
        <f t="shared" si="15"/>
        <v>0</v>
      </c>
      <c r="J102" s="1031">
        <f t="shared" si="15"/>
        <v>0</v>
      </c>
      <c r="K102" s="1031">
        <f t="shared" si="15"/>
        <v>0</v>
      </c>
      <c r="L102" s="1031"/>
      <c r="M102" s="839"/>
      <c r="N102" s="839"/>
      <c r="O102" s="839"/>
      <c r="P102" s="1031"/>
      <c r="Q102" s="839"/>
      <c r="R102" s="839"/>
      <c r="S102" s="839"/>
    </row>
    <row r="103" spans="1:19" hidden="1">
      <c r="A103" s="1062">
        <f t="shared" si="16"/>
        <v>9.279999999999994</v>
      </c>
      <c r="B103" s="839"/>
      <c r="C103" s="1031">
        <f t="shared" si="14"/>
        <v>0</v>
      </c>
      <c r="D103" s="1031">
        <f t="shared" si="12"/>
        <v>0</v>
      </c>
      <c r="E103" s="1031"/>
      <c r="F103" s="1031"/>
      <c r="G103" s="1031">
        <f>ROUND(SUM(C103:F103)/2,0)</f>
        <v>0</v>
      </c>
      <c r="H103" s="1031"/>
      <c r="I103" s="1031">
        <f t="shared" si="15"/>
        <v>0</v>
      </c>
      <c r="J103" s="1031">
        <f t="shared" si="15"/>
        <v>0</v>
      </c>
      <c r="K103" s="1031">
        <f t="shared" si="15"/>
        <v>0</v>
      </c>
      <c r="L103" s="1031"/>
      <c r="M103" s="839"/>
      <c r="N103" s="839"/>
      <c r="O103" s="839"/>
      <c r="P103" s="1031"/>
      <c r="Q103" s="839"/>
      <c r="R103" s="839"/>
      <c r="S103" s="839"/>
    </row>
    <row r="104" spans="1:19" hidden="1">
      <c r="A104" s="1062">
        <f t="shared" si="16"/>
        <v>9.2899999999999938</v>
      </c>
      <c r="B104" s="839"/>
      <c r="C104" s="1031">
        <f t="shared" si="14"/>
        <v>0</v>
      </c>
      <c r="D104" s="1031">
        <f t="shared" si="12"/>
        <v>0</v>
      </c>
      <c r="E104" s="1031"/>
      <c r="F104" s="1031"/>
      <c r="G104" s="1031">
        <f t="shared" si="13"/>
        <v>0</v>
      </c>
      <c r="H104" s="1031"/>
      <c r="I104" s="1031">
        <f t="shared" si="15"/>
        <v>0</v>
      </c>
      <c r="J104" s="1031">
        <f t="shared" si="15"/>
        <v>0</v>
      </c>
      <c r="K104" s="1031">
        <f t="shared" si="15"/>
        <v>0</v>
      </c>
      <c r="L104" s="1031"/>
      <c r="M104" s="839"/>
      <c r="N104" s="839"/>
      <c r="O104" s="839"/>
      <c r="P104" s="1031"/>
      <c r="Q104" s="839"/>
      <c r="R104" s="839"/>
      <c r="S104" s="839"/>
    </row>
    <row r="105" spans="1:19" hidden="1">
      <c r="A105" s="1062">
        <f t="shared" si="16"/>
        <v>9.2999999999999936</v>
      </c>
      <c r="B105" s="839"/>
      <c r="C105" s="1031">
        <f t="shared" si="14"/>
        <v>0</v>
      </c>
      <c r="D105" s="1031">
        <f t="shared" si="12"/>
        <v>0</v>
      </c>
      <c r="E105" s="1031"/>
      <c r="F105" s="1031"/>
      <c r="G105" s="1031">
        <f t="shared" si="13"/>
        <v>0</v>
      </c>
      <c r="H105" s="1031"/>
      <c r="I105" s="1031">
        <f t="shared" si="15"/>
        <v>0</v>
      </c>
      <c r="J105" s="1031">
        <f t="shared" si="15"/>
        <v>0</v>
      </c>
      <c r="K105" s="1031">
        <f t="shared" si="15"/>
        <v>0</v>
      </c>
      <c r="L105" s="1031"/>
      <c r="M105" s="839"/>
      <c r="N105" s="839"/>
      <c r="O105" s="839"/>
      <c r="P105" s="1031"/>
      <c r="Q105" s="839"/>
      <c r="R105" s="839"/>
      <c r="S105" s="839"/>
    </row>
    <row r="106" spans="1:19" hidden="1">
      <c r="A106" s="1062">
        <f t="shared" si="16"/>
        <v>9.3099999999999934</v>
      </c>
      <c r="B106" s="839"/>
      <c r="C106" s="1036">
        <f t="shared" si="14"/>
        <v>0</v>
      </c>
      <c r="D106" s="1036">
        <f t="shared" si="12"/>
        <v>0</v>
      </c>
      <c r="E106" s="1036"/>
      <c r="F106" s="1036"/>
      <c r="G106" s="1036">
        <f t="shared" si="13"/>
        <v>0</v>
      </c>
      <c r="H106" s="1036"/>
      <c r="I106" s="1036">
        <f t="shared" si="15"/>
        <v>0</v>
      </c>
      <c r="J106" s="1036">
        <f t="shared" si="15"/>
        <v>0</v>
      </c>
      <c r="K106" s="1036">
        <f t="shared" si="15"/>
        <v>0</v>
      </c>
      <c r="L106" s="1036"/>
      <c r="M106" s="839"/>
      <c r="N106" s="839"/>
      <c r="O106" s="839"/>
      <c r="P106" s="1036"/>
      <c r="Q106" s="839"/>
      <c r="R106" s="839"/>
      <c r="S106" s="839"/>
    </row>
    <row r="107" spans="1:19" hidden="1">
      <c r="A107" s="1062">
        <f t="shared" si="16"/>
        <v>9.3199999999999932</v>
      </c>
      <c r="B107" s="839"/>
      <c r="C107" s="1031">
        <f t="shared" si="14"/>
        <v>0</v>
      </c>
      <c r="D107" s="1031">
        <f t="shared" si="12"/>
        <v>0</v>
      </c>
      <c r="E107" s="1031"/>
      <c r="F107" s="1031"/>
      <c r="G107" s="1031">
        <f t="shared" si="13"/>
        <v>0</v>
      </c>
      <c r="H107" s="1031"/>
      <c r="I107" s="1031">
        <f t="shared" si="15"/>
        <v>0</v>
      </c>
      <c r="J107" s="1031">
        <f t="shared" si="15"/>
        <v>0</v>
      </c>
      <c r="K107" s="1031">
        <f t="shared" si="15"/>
        <v>0</v>
      </c>
      <c r="L107" s="1031"/>
      <c r="M107" s="839"/>
      <c r="N107" s="839"/>
      <c r="O107" s="839"/>
      <c r="P107" s="1031"/>
      <c r="Q107" s="839"/>
      <c r="R107" s="839"/>
      <c r="S107" s="839"/>
    </row>
    <row r="108" spans="1:19" hidden="1">
      <c r="A108" s="1062">
        <f t="shared" si="16"/>
        <v>9.329999999999993</v>
      </c>
      <c r="B108" s="839"/>
      <c r="C108" s="1031">
        <f t="shared" si="14"/>
        <v>0</v>
      </c>
      <c r="D108" s="1031">
        <f t="shared" si="12"/>
        <v>0</v>
      </c>
      <c r="E108" s="1031"/>
      <c r="F108" s="1031"/>
      <c r="G108" s="1031">
        <f t="shared" si="13"/>
        <v>0</v>
      </c>
      <c r="H108" s="1031"/>
      <c r="I108" s="1031">
        <f t="shared" si="15"/>
        <v>0</v>
      </c>
      <c r="J108" s="1031">
        <f t="shared" si="15"/>
        <v>0</v>
      </c>
      <c r="K108" s="1031">
        <f t="shared" si="15"/>
        <v>0</v>
      </c>
      <c r="L108" s="1031"/>
      <c r="M108" s="839"/>
      <c r="N108" s="839"/>
      <c r="O108" s="839"/>
      <c r="P108" s="1031"/>
      <c r="Q108" s="839"/>
      <c r="R108" s="839"/>
      <c r="S108" s="839"/>
    </row>
    <row r="109" spans="1:19" hidden="1">
      <c r="A109" s="1062">
        <f t="shared" si="16"/>
        <v>9.3399999999999928</v>
      </c>
      <c r="B109" s="839"/>
      <c r="C109" s="1031">
        <f t="shared" si="14"/>
        <v>0</v>
      </c>
      <c r="D109" s="1031">
        <f t="shared" si="12"/>
        <v>0</v>
      </c>
      <c r="E109" s="1031"/>
      <c r="F109" s="1031"/>
      <c r="G109" s="1031">
        <f t="shared" si="13"/>
        <v>0</v>
      </c>
      <c r="H109" s="1031"/>
      <c r="I109" s="1031">
        <f t="shared" si="15"/>
        <v>0</v>
      </c>
      <c r="J109" s="1031">
        <f t="shared" si="15"/>
        <v>0</v>
      </c>
      <c r="K109" s="1031">
        <f t="shared" si="15"/>
        <v>0</v>
      </c>
      <c r="L109" s="1031"/>
      <c r="M109" s="839"/>
      <c r="N109" s="839"/>
      <c r="O109" s="839"/>
      <c r="P109" s="1031"/>
      <c r="Q109" s="839"/>
      <c r="R109" s="839"/>
      <c r="S109" s="839"/>
    </row>
    <row r="110" spans="1:19" hidden="1">
      <c r="A110" s="1062">
        <f t="shared" si="16"/>
        <v>9.3499999999999925</v>
      </c>
      <c r="B110" s="839"/>
      <c r="C110" s="1031">
        <f t="shared" si="14"/>
        <v>0</v>
      </c>
      <c r="D110" s="1031">
        <f t="shared" si="12"/>
        <v>0</v>
      </c>
      <c r="E110" s="1031"/>
      <c r="F110" s="1031"/>
      <c r="G110" s="1031">
        <f t="shared" si="13"/>
        <v>0</v>
      </c>
      <c r="H110" s="1031"/>
      <c r="I110" s="1031">
        <f t="shared" si="15"/>
        <v>0</v>
      </c>
      <c r="J110" s="1031">
        <f t="shared" si="15"/>
        <v>0</v>
      </c>
      <c r="K110" s="1031">
        <f t="shared" si="15"/>
        <v>0</v>
      </c>
      <c r="L110" s="1031"/>
      <c r="M110" s="839"/>
      <c r="N110" s="839"/>
      <c r="O110" s="839"/>
      <c r="P110" s="1031"/>
      <c r="Q110" s="839"/>
      <c r="R110" s="839"/>
      <c r="S110" s="839"/>
    </row>
    <row r="111" spans="1:19" hidden="1">
      <c r="A111" s="1062">
        <f t="shared" si="16"/>
        <v>9.3599999999999923</v>
      </c>
      <c r="B111" s="839"/>
      <c r="C111" s="1031">
        <f t="shared" si="14"/>
        <v>0</v>
      </c>
      <c r="D111" s="1031">
        <f t="shared" si="12"/>
        <v>0</v>
      </c>
      <c r="E111" s="1031"/>
      <c r="F111" s="1031"/>
      <c r="G111" s="1031">
        <f t="shared" si="13"/>
        <v>0</v>
      </c>
      <c r="H111" s="1031"/>
      <c r="I111" s="1031">
        <f t="shared" si="15"/>
        <v>0</v>
      </c>
      <c r="J111" s="1031">
        <f t="shared" si="15"/>
        <v>0</v>
      </c>
      <c r="K111" s="1031">
        <f t="shared" si="15"/>
        <v>0</v>
      </c>
      <c r="L111" s="1031"/>
      <c r="M111" s="839"/>
      <c r="N111" s="839"/>
      <c r="O111" s="839"/>
      <c r="P111" s="1031"/>
      <c r="Q111" s="839"/>
      <c r="R111" s="839"/>
      <c r="S111" s="839"/>
    </row>
    <row r="112" spans="1:19" hidden="1">
      <c r="A112" s="1062">
        <f t="shared" si="16"/>
        <v>9.3699999999999921</v>
      </c>
      <c r="B112" s="839"/>
      <c r="C112" s="1031">
        <f t="shared" si="14"/>
        <v>0</v>
      </c>
      <c r="D112" s="1031">
        <f t="shared" si="12"/>
        <v>0</v>
      </c>
      <c r="E112" s="1031"/>
      <c r="F112" s="1031"/>
      <c r="G112" s="1031">
        <f t="shared" si="13"/>
        <v>0</v>
      </c>
      <c r="H112" s="1031"/>
      <c r="I112" s="1031">
        <f t="shared" si="15"/>
        <v>0</v>
      </c>
      <c r="J112" s="1031">
        <f t="shared" si="15"/>
        <v>0</v>
      </c>
      <c r="K112" s="1031">
        <f t="shared" si="15"/>
        <v>0</v>
      </c>
      <c r="L112" s="1031"/>
      <c r="M112" s="839"/>
      <c r="N112" s="839"/>
      <c r="O112" s="839"/>
      <c r="P112" s="1031"/>
      <c r="Q112" s="839"/>
      <c r="R112" s="839"/>
      <c r="S112" s="839"/>
    </row>
    <row r="113" spans="1:19" hidden="1">
      <c r="A113" s="1062">
        <f t="shared" si="16"/>
        <v>9.3799999999999919</v>
      </c>
      <c r="B113" s="839"/>
      <c r="C113" s="1031">
        <f t="shared" si="14"/>
        <v>0</v>
      </c>
      <c r="D113" s="1031">
        <f t="shared" si="12"/>
        <v>0</v>
      </c>
      <c r="E113" s="1031"/>
      <c r="F113" s="1031"/>
      <c r="G113" s="1031">
        <f t="shared" si="13"/>
        <v>0</v>
      </c>
      <c r="H113" s="1031"/>
      <c r="I113" s="1031">
        <f t="shared" si="15"/>
        <v>0</v>
      </c>
      <c r="J113" s="1031">
        <f t="shared" si="15"/>
        <v>0</v>
      </c>
      <c r="K113" s="1031">
        <f t="shared" si="15"/>
        <v>0</v>
      </c>
      <c r="L113" s="1031"/>
      <c r="M113" s="839"/>
      <c r="N113" s="839"/>
      <c r="O113" s="839"/>
      <c r="P113" s="1031"/>
      <c r="Q113" s="839"/>
      <c r="R113" s="839"/>
      <c r="S113" s="839"/>
    </row>
    <row r="114" spans="1:19" hidden="1">
      <c r="A114" s="1062">
        <f t="shared" si="16"/>
        <v>9.3899999999999917</v>
      </c>
      <c r="B114" s="839"/>
      <c r="C114" s="1031">
        <f t="shared" si="14"/>
        <v>0</v>
      </c>
      <c r="D114" s="1031">
        <f t="shared" si="12"/>
        <v>0</v>
      </c>
      <c r="E114" s="1031"/>
      <c r="F114" s="1031"/>
      <c r="G114" s="1031">
        <f t="shared" si="13"/>
        <v>0</v>
      </c>
      <c r="H114" s="1031"/>
      <c r="I114" s="1031">
        <f t="shared" si="15"/>
        <v>0</v>
      </c>
      <c r="J114" s="1031">
        <f t="shared" si="15"/>
        <v>0</v>
      </c>
      <c r="K114" s="1031">
        <f t="shared" si="15"/>
        <v>0</v>
      </c>
      <c r="L114" s="1031"/>
      <c r="M114" s="839"/>
      <c r="N114" s="839"/>
      <c r="O114" s="839"/>
      <c r="P114" s="1031"/>
      <c r="Q114" s="839"/>
      <c r="R114" s="839"/>
      <c r="S114" s="839"/>
    </row>
    <row r="115" spans="1:19" hidden="1">
      <c r="A115" s="1062">
        <f t="shared" si="16"/>
        <v>9.3999999999999915</v>
      </c>
      <c r="B115" s="839"/>
      <c r="C115" s="1031">
        <f t="shared" si="14"/>
        <v>0</v>
      </c>
      <c r="D115" s="1031">
        <f t="shared" si="12"/>
        <v>0</v>
      </c>
      <c r="E115" s="1031"/>
      <c r="F115" s="1031"/>
      <c r="G115" s="1031">
        <f t="shared" si="13"/>
        <v>0</v>
      </c>
      <c r="H115" s="1031"/>
      <c r="I115" s="1031">
        <f t="shared" si="15"/>
        <v>0</v>
      </c>
      <c r="J115" s="1031">
        <f t="shared" si="15"/>
        <v>0</v>
      </c>
      <c r="K115" s="1031">
        <f t="shared" si="15"/>
        <v>0</v>
      </c>
      <c r="L115" s="1031"/>
      <c r="M115" s="839"/>
      <c r="N115" s="839"/>
      <c r="O115" s="839"/>
      <c r="P115" s="1031"/>
      <c r="Q115" s="839"/>
      <c r="R115" s="839"/>
      <c r="S115" s="839"/>
    </row>
    <row r="116" spans="1:19" hidden="1">
      <c r="A116" s="1062">
        <f t="shared" si="16"/>
        <v>9.4099999999999913</v>
      </c>
      <c r="B116" s="839"/>
      <c r="C116" s="1031">
        <f t="shared" si="14"/>
        <v>0</v>
      </c>
      <c r="D116" s="1031">
        <f t="shared" si="12"/>
        <v>0</v>
      </c>
      <c r="E116" s="1031"/>
      <c r="F116" s="1031"/>
      <c r="G116" s="1031">
        <f t="shared" si="13"/>
        <v>0</v>
      </c>
      <c r="H116" s="1031"/>
      <c r="I116" s="1031">
        <f t="shared" si="15"/>
        <v>0</v>
      </c>
      <c r="J116" s="1031">
        <f t="shared" si="15"/>
        <v>0</v>
      </c>
      <c r="K116" s="1031">
        <f t="shared" si="15"/>
        <v>0</v>
      </c>
      <c r="L116" s="1031"/>
      <c r="M116" s="839"/>
      <c r="N116" s="839"/>
      <c r="O116" s="839"/>
      <c r="P116" s="1031"/>
      <c r="Q116" s="839"/>
      <c r="R116" s="839"/>
      <c r="S116" s="839"/>
    </row>
    <row r="117" spans="1:19" hidden="1">
      <c r="A117" s="1062">
        <f t="shared" si="16"/>
        <v>9.419999999999991</v>
      </c>
      <c r="B117" s="839"/>
      <c r="C117" s="1031">
        <f t="shared" si="14"/>
        <v>0</v>
      </c>
      <c r="D117" s="1031">
        <f t="shared" si="12"/>
        <v>0</v>
      </c>
      <c r="E117" s="1031"/>
      <c r="F117" s="1031"/>
      <c r="G117" s="1031">
        <f t="shared" si="13"/>
        <v>0</v>
      </c>
      <c r="H117" s="1031"/>
      <c r="I117" s="1031">
        <f t="shared" si="15"/>
        <v>0</v>
      </c>
      <c r="J117" s="1031">
        <f t="shared" si="15"/>
        <v>0</v>
      </c>
      <c r="K117" s="1031">
        <f t="shared" si="15"/>
        <v>0</v>
      </c>
      <c r="L117" s="1031"/>
      <c r="M117" s="839"/>
      <c r="N117" s="839"/>
      <c r="O117" s="839"/>
      <c r="P117" s="1031"/>
      <c r="Q117" s="839"/>
      <c r="R117" s="839"/>
      <c r="S117" s="839"/>
    </row>
    <row r="118" spans="1:19" hidden="1">
      <c r="A118" s="1062">
        <f t="shared" si="16"/>
        <v>9.4299999999999908</v>
      </c>
      <c r="B118" s="839"/>
      <c r="C118" s="1031">
        <f t="shared" si="14"/>
        <v>0</v>
      </c>
      <c r="D118" s="1031">
        <f t="shared" si="12"/>
        <v>0</v>
      </c>
      <c r="E118" s="1031"/>
      <c r="F118" s="1031"/>
      <c r="G118" s="1031">
        <f t="shared" si="13"/>
        <v>0</v>
      </c>
      <c r="H118" s="1031"/>
      <c r="I118" s="1031">
        <f t="shared" si="15"/>
        <v>0</v>
      </c>
      <c r="J118" s="1031">
        <f t="shared" si="15"/>
        <v>0</v>
      </c>
      <c r="K118" s="1031">
        <f t="shared" si="15"/>
        <v>0</v>
      </c>
      <c r="L118" s="1031"/>
      <c r="M118" s="839"/>
      <c r="N118" s="839"/>
      <c r="O118" s="839"/>
      <c r="P118" s="1031"/>
      <c r="Q118" s="839"/>
      <c r="R118" s="839"/>
      <c r="S118" s="839"/>
    </row>
    <row r="119" spans="1:19" hidden="1">
      <c r="A119" s="1062">
        <f t="shared" si="16"/>
        <v>9.4399999999999906</v>
      </c>
      <c r="B119" s="839"/>
      <c r="C119" s="1031">
        <f t="shared" si="14"/>
        <v>0</v>
      </c>
      <c r="D119" s="1031">
        <f t="shared" si="12"/>
        <v>0</v>
      </c>
      <c r="E119" s="1031"/>
      <c r="F119" s="1031"/>
      <c r="G119" s="1031">
        <f t="shared" si="13"/>
        <v>0</v>
      </c>
      <c r="H119" s="1031"/>
      <c r="I119" s="1031">
        <f t="shared" si="15"/>
        <v>0</v>
      </c>
      <c r="J119" s="1031">
        <f t="shared" si="15"/>
        <v>0</v>
      </c>
      <c r="K119" s="1031">
        <f t="shared" si="15"/>
        <v>0</v>
      </c>
      <c r="L119" s="1031"/>
      <c r="M119" s="839"/>
      <c r="N119" s="839"/>
      <c r="O119" s="839"/>
      <c r="P119" s="1031"/>
      <c r="Q119" s="839"/>
      <c r="R119" s="839"/>
      <c r="S119" s="839"/>
    </row>
    <row r="120" spans="1:19" hidden="1">
      <c r="A120" s="1062">
        <f t="shared" si="16"/>
        <v>9.4499999999999904</v>
      </c>
      <c r="B120" s="839"/>
      <c r="C120" s="1031">
        <f t="shared" si="14"/>
        <v>0</v>
      </c>
      <c r="D120" s="1031">
        <f t="shared" si="12"/>
        <v>0</v>
      </c>
      <c r="E120" s="1031"/>
      <c r="F120" s="1031"/>
      <c r="G120" s="1031">
        <f t="shared" si="13"/>
        <v>0</v>
      </c>
      <c r="H120" s="1031"/>
      <c r="I120" s="1031">
        <f t="shared" si="15"/>
        <v>0</v>
      </c>
      <c r="J120" s="1031">
        <f t="shared" si="15"/>
        <v>0</v>
      </c>
      <c r="K120" s="1031">
        <f t="shared" si="15"/>
        <v>0</v>
      </c>
      <c r="L120" s="1031"/>
      <c r="M120" s="839"/>
      <c r="N120" s="839"/>
      <c r="O120" s="839"/>
      <c r="P120" s="1031"/>
      <c r="Q120" s="839"/>
      <c r="R120" s="839"/>
      <c r="S120" s="839"/>
    </row>
    <row r="121" spans="1:19" hidden="1">
      <c r="A121" s="1062">
        <f t="shared" si="16"/>
        <v>9.4599999999999902</v>
      </c>
      <c r="B121" s="839"/>
      <c r="C121" s="1031">
        <f t="shared" si="14"/>
        <v>0</v>
      </c>
      <c r="D121" s="1031">
        <f t="shared" si="12"/>
        <v>0</v>
      </c>
      <c r="E121" s="1031"/>
      <c r="F121" s="1031"/>
      <c r="G121" s="1031">
        <f t="shared" si="13"/>
        <v>0</v>
      </c>
      <c r="H121" s="1031"/>
      <c r="I121" s="1031">
        <f t="shared" si="15"/>
        <v>0</v>
      </c>
      <c r="J121" s="1031">
        <f t="shared" si="15"/>
        <v>0</v>
      </c>
      <c r="K121" s="1031">
        <f t="shared" si="15"/>
        <v>0</v>
      </c>
      <c r="L121" s="1031"/>
      <c r="M121" s="839"/>
      <c r="N121" s="839"/>
      <c r="O121" s="839"/>
      <c r="P121" s="1031"/>
      <c r="Q121" s="839"/>
      <c r="R121" s="839"/>
      <c r="S121" s="839"/>
    </row>
    <row r="122" spans="1:19" hidden="1">
      <c r="A122" s="1062">
        <f t="shared" si="16"/>
        <v>9.46999999999999</v>
      </c>
      <c r="B122" s="839"/>
      <c r="C122" s="1031">
        <f t="shared" si="14"/>
        <v>0</v>
      </c>
      <c r="D122" s="1031">
        <f t="shared" si="12"/>
        <v>0</v>
      </c>
      <c r="E122" s="1031"/>
      <c r="F122" s="1031"/>
      <c r="G122" s="1031">
        <f t="shared" si="13"/>
        <v>0</v>
      </c>
      <c r="H122" s="1031"/>
      <c r="I122" s="1031">
        <f t="shared" si="15"/>
        <v>0</v>
      </c>
      <c r="J122" s="1031">
        <f t="shared" si="15"/>
        <v>0</v>
      </c>
      <c r="K122" s="1031">
        <f t="shared" si="15"/>
        <v>0</v>
      </c>
      <c r="L122" s="1031"/>
      <c r="M122" s="839"/>
      <c r="N122" s="839"/>
      <c r="O122" s="839"/>
      <c r="P122" s="1031"/>
      <c r="Q122" s="839"/>
      <c r="R122" s="839"/>
      <c r="S122" s="839"/>
    </row>
    <row r="123" spans="1:19" hidden="1">
      <c r="A123" s="1062">
        <f t="shared" si="16"/>
        <v>9.4799999999999898</v>
      </c>
      <c r="B123" s="839"/>
      <c r="C123" s="1031">
        <f t="shared" si="14"/>
        <v>0</v>
      </c>
      <c r="D123" s="1031">
        <f t="shared" si="12"/>
        <v>0</v>
      </c>
      <c r="E123" s="1031"/>
      <c r="F123" s="1031"/>
      <c r="G123" s="1031">
        <f t="shared" si="13"/>
        <v>0</v>
      </c>
      <c r="H123" s="1031"/>
      <c r="I123" s="1031">
        <f t="shared" si="15"/>
        <v>0</v>
      </c>
      <c r="J123" s="1031">
        <f t="shared" si="15"/>
        <v>0</v>
      </c>
      <c r="K123" s="1031">
        <f t="shared" si="15"/>
        <v>0</v>
      </c>
      <c r="L123" s="1031"/>
      <c r="M123" s="839"/>
      <c r="N123" s="839"/>
      <c r="O123" s="839"/>
      <c r="P123" s="1031"/>
      <c r="Q123" s="839"/>
      <c r="R123" s="839"/>
      <c r="S123" s="839"/>
    </row>
    <row r="124" spans="1:19" hidden="1">
      <c r="A124" s="1062">
        <f t="shared" si="16"/>
        <v>9.4899999999999896</v>
      </c>
      <c r="B124" s="839"/>
      <c r="C124" s="1031">
        <f t="shared" si="14"/>
        <v>0</v>
      </c>
      <c r="D124" s="1031">
        <f t="shared" si="12"/>
        <v>0</v>
      </c>
      <c r="E124" s="1031"/>
      <c r="F124" s="1031"/>
      <c r="G124" s="1031">
        <f t="shared" si="13"/>
        <v>0</v>
      </c>
      <c r="H124" s="1031"/>
      <c r="I124" s="1031">
        <f t="shared" si="15"/>
        <v>0</v>
      </c>
      <c r="J124" s="1031">
        <f t="shared" si="15"/>
        <v>0</v>
      </c>
      <c r="K124" s="1031">
        <f t="shared" si="15"/>
        <v>0</v>
      </c>
      <c r="L124" s="1031"/>
      <c r="M124" s="839"/>
      <c r="N124" s="839"/>
      <c r="O124" s="839"/>
      <c r="P124" s="1031"/>
      <c r="Q124" s="839"/>
      <c r="R124" s="839"/>
      <c r="S124" s="839"/>
    </row>
    <row r="125" spans="1:19" hidden="1">
      <c r="A125" s="1062">
        <f t="shared" si="16"/>
        <v>9.4999999999999893</v>
      </c>
      <c r="B125" s="839"/>
      <c r="C125" s="1031">
        <f t="shared" si="14"/>
        <v>0</v>
      </c>
      <c r="D125" s="1031">
        <f t="shared" si="12"/>
        <v>0</v>
      </c>
      <c r="E125" s="1031"/>
      <c r="F125" s="1031"/>
      <c r="G125" s="1031">
        <f t="shared" si="13"/>
        <v>0</v>
      </c>
      <c r="H125" s="1031"/>
      <c r="I125" s="1031">
        <f t="shared" si="15"/>
        <v>0</v>
      </c>
      <c r="J125" s="1031">
        <f t="shared" si="15"/>
        <v>0</v>
      </c>
      <c r="K125" s="1031">
        <f t="shared" si="15"/>
        <v>0</v>
      </c>
      <c r="L125" s="1031"/>
      <c r="M125" s="839"/>
      <c r="N125" s="839"/>
      <c r="O125" s="839"/>
      <c r="P125" s="1031"/>
      <c r="Q125" s="839"/>
      <c r="R125" s="839"/>
      <c r="S125" s="839"/>
    </row>
    <row r="126" spans="1:19" hidden="1">
      <c r="A126" s="1062">
        <f t="shared" si="16"/>
        <v>9.5099999999999891</v>
      </c>
      <c r="B126" s="839"/>
      <c r="C126" s="1031">
        <f t="shared" si="14"/>
        <v>0</v>
      </c>
      <c r="D126" s="1031">
        <f t="shared" si="12"/>
        <v>0</v>
      </c>
      <c r="E126" s="1031"/>
      <c r="F126" s="1031"/>
      <c r="G126" s="1031">
        <f t="shared" si="13"/>
        <v>0</v>
      </c>
      <c r="H126" s="1031"/>
      <c r="I126" s="1031">
        <f t="shared" si="15"/>
        <v>0</v>
      </c>
      <c r="J126" s="1031">
        <f t="shared" si="15"/>
        <v>0</v>
      </c>
      <c r="K126" s="1031">
        <f t="shared" si="15"/>
        <v>0</v>
      </c>
      <c r="L126" s="1031"/>
      <c r="M126" s="839"/>
      <c r="N126" s="839"/>
      <c r="O126" s="839"/>
      <c r="P126" s="1031"/>
      <c r="Q126" s="839"/>
      <c r="R126" s="839"/>
      <c r="S126" s="839"/>
    </row>
    <row r="127" spans="1:19" hidden="1">
      <c r="A127" s="1062">
        <f t="shared" si="16"/>
        <v>9.5199999999999889</v>
      </c>
      <c r="B127" s="839"/>
      <c r="C127" s="1031">
        <f t="shared" si="14"/>
        <v>0</v>
      </c>
      <c r="D127" s="1031">
        <f t="shared" si="12"/>
        <v>0</v>
      </c>
      <c r="E127" s="1031"/>
      <c r="F127" s="1031"/>
      <c r="G127" s="1031">
        <f t="shared" si="13"/>
        <v>0</v>
      </c>
      <c r="H127" s="1031"/>
      <c r="I127" s="1031">
        <f t="shared" si="15"/>
        <v>0</v>
      </c>
      <c r="J127" s="1031">
        <f t="shared" si="15"/>
        <v>0</v>
      </c>
      <c r="K127" s="1031">
        <f t="shared" si="15"/>
        <v>0</v>
      </c>
      <c r="L127" s="1031"/>
      <c r="M127" s="839"/>
      <c r="N127" s="839"/>
      <c r="O127" s="839"/>
      <c r="P127" s="1031"/>
      <c r="Q127" s="839"/>
      <c r="R127" s="839"/>
      <c r="S127" s="839"/>
    </row>
    <row r="128" spans="1:19" hidden="1">
      <c r="A128" s="1062">
        <f t="shared" si="16"/>
        <v>9.5299999999999887</v>
      </c>
      <c r="B128" s="839"/>
      <c r="C128" s="1031">
        <f t="shared" si="14"/>
        <v>0</v>
      </c>
      <c r="D128" s="1031">
        <f t="shared" si="12"/>
        <v>0</v>
      </c>
      <c r="E128" s="1031"/>
      <c r="F128" s="1031"/>
      <c r="G128" s="1031">
        <f t="shared" si="13"/>
        <v>0</v>
      </c>
      <c r="H128" s="1031"/>
      <c r="I128" s="1031">
        <f t="shared" si="15"/>
        <v>0</v>
      </c>
      <c r="J128" s="1031">
        <f t="shared" si="15"/>
        <v>0</v>
      </c>
      <c r="K128" s="1031">
        <f t="shared" si="15"/>
        <v>0</v>
      </c>
      <c r="L128" s="1031"/>
      <c r="M128" s="839"/>
      <c r="N128" s="839"/>
      <c r="O128" s="839"/>
      <c r="P128" s="1031"/>
      <c r="Q128" s="839"/>
      <c r="R128" s="839"/>
      <c r="S128" s="839"/>
    </row>
    <row r="129" spans="1:19" hidden="1">
      <c r="A129" s="1062">
        <f t="shared" si="16"/>
        <v>9.5399999999999885</v>
      </c>
      <c r="B129" s="839"/>
      <c r="C129" s="1031">
        <f t="shared" si="14"/>
        <v>0</v>
      </c>
      <c r="D129" s="1031">
        <f t="shared" si="12"/>
        <v>0</v>
      </c>
      <c r="E129" s="1031"/>
      <c r="F129" s="1031"/>
      <c r="G129" s="1031">
        <f t="shared" si="13"/>
        <v>0</v>
      </c>
      <c r="H129" s="1031"/>
      <c r="I129" s="1031">
        <f t="shared" si="15"/>
        <v>0</v>
      </c>
      <c r="J129" s="1031">
        <f t="shared" si="15"/>
        <v>0</v>
      </c>
      <c r="K129" s="1031">
        <f t="shared" si="15"/>
        <v>0</v>
      </c>
      <c r="L129" s="1031"/>
      <c r="M129" s="839"/>
      <c r="N129" s="839"/>
      <c r="O129" s="839"/>
      <c r="P129" s="1031"/>
      <c r="Q129" s="839"/>
      <c r="R129" s="839"/>
      <c r="S129" s="839"/>
    </row>
    <row r="130" spans="1:19" hidden="1">
      <c r="A130" s="1062">
        <f t="shared" si="16"/>
        <v>9.5499999999999883</v>
      </c>
      <c r="B130" s="839"/>
      <c r="C130" s="1031">
        <f t="shared" si="14"/>
        <v>0</v>
      </c>
      <c r="D130" s="1031">
        <f t="shared" si="12"/>
        <v>0</v>
      </c>
      <c r="E130" s="1031"/>
      <c r="F130" s="1031"/>
      <c r="G130" s="1031">
        <f t="shared" si="13"/>
        <v>0</v>
      </c>
      <c r="H130" s="1031"/>
      <c r="I130" s="1031">
        <f t="shared" si="15"/>
        <v>0</v>
      </c>
      <c r="J130" s="1031">
        <f t="shared" si="15"/>
        <v>0</v>
      </c>
      <c r="K130" s="1031">
        <f t="shared" si="15"/>
        <v>0</v>
      </c>
      <c r="L130" s="1031"/>
      <c r="M130" s="839"/>
      <c r="N130" s="839"/>
      <c r="O130" s="839"/>
      <c r="P130" s="1031"/>
      <c r="Q130" s="839"/>
      <c r="R130" s="839"/>
      <c r="S130" s="839"/>
    </row>
    <row r="131" spans="1:19" hidden="1">
      <c r="A131" s="1062">
        <f t="shared" si="16"/>
        <v>9.5599999999999881</v>
      </c>
      <c r="B131" s="839"/>
      <c r="C131" s="1031">
        <f t="shared" si="14"/>
        <v>0</v>
      </c>
      <c r="D131" s="1031">
        <f t="shared" si="12"/>
        <v>0</v>
      </c>
      <c r="E131" s="1031"/>
      <c r="F131" s="1031"/>
      <c r="G131" s="1031">
        <f>ROUND(SUM(C131:F131)/2,0)</f>
        <v>0</v>
      </c>
      <c r="H131" s="1031"/>
      <c r="I131" s="1031">
        <f t="shared" si="15"/>
        <v>0</v>
      </c>
      <c r="J131" s="1031">
        <f t="shared" si="15"/>
        <v>0</v>
      </c>
      <c r="K131" s="1031">
        <f t="shared" si="15"/>
        <v>0</v>
      </c>
      <c r="L131" s="1031"/>
      <c r="M131" s="839"/>
      <c r="N131" s="839"/>
      <c r="O131" s="839"/>
      <c r="P131" s="1031"/>
      <c r="Q131" s="839"/>
      <c r="R131" s="839"/>
      <c r="S131" s="839"/>
    </row>
    <row r="132" spans="1:19" hidden="1">
      <c r="A132" s="1062">
        <f t="shared" si="16"/>
        <v>9.5699999999999878</v>
      </c>
      <c r="B132" s="839"/>
      <c r="C132" s="1031">
        <f t="shared" si="14"/>
        <v>0</v>
      </c>
      <c r="D132" s="1031">
        <f t="shared" si="12"/>
        <v>0</v>
      </c>
      <c r="E132" s="1031"/>
      <c r="F132" s="1031"/>
      <c r="G132" s="1031">
        <f>ROUND(SUM(C132:F132)/2,0)</f>
        <v>0</v>
      </c>
      <c r="H132" s="1031"/>
      <c r="I132" s="1031">
        <f t="shared" si="15"/>
        <v>0</v>
      </c>
      <c r="J132" s="1031">
        <f t="shared" si="15"/>
        <v>0</v>
      </c>
      <c r="K132" s="1031">
        <f t="shared" si="15"/>
        <v>0</v>
      </c>
      <c r="L132" s="1031"/>
      <c r="M132" s="839"/>
      <c r="N132" s="839"/>
      <c r="O132" s="839"/>
      <c r="P132" s="1031"/>
      <c r="Q132" s="839"/>
      <c r="R132" s="839"/>
      <c r="S132" s="839"/>
    </row>
    <row r="133" spans="1:19" hidden="1">
      <c r="A133" s="1062">
        <f t="shared" si="16"/>
        <v>9.5799999999999876</v>
      </c>
      <c r="B133" s="839"/>
      <c r="C133" s="1031">
        <f t="shared" si="14"/>
        <v>0</v>
      </c>
      <c r="D133" s="1031">
        <f t="shared" si="12"/>
        <v>0</v>
      </c>
      <c r="E133" s="1031"/>
      <c r="F133" s="1031"/>
      <c r="G133" s="1031">
        <f>ROUND(SUM(C133:F133)/2,0)</f>
        <v>0</v>
      </c>
      <c r="H133" s="1031"/>
      <c r="I133" s="1031">
        <f t="shared" si="15"/>
        <v>0</v>
      </c>
      <c r="J133" s="1031">
        <f t="shared" si="15"/>
        <v>0</v>
      </c>
      <c r="K133" s="1031">
        <f t="shared" si="15"/>
        <v>0</v>
      </c>
      <c r="L133" s="1031"/>
      <c r="M133" s="839"/>
      <c r="N133" s="839"/>
      <c r="O133" s="839"/>
      <c r="P133" s="1031"/>
      <c r="Q133" s="839"/>
      <c r="R133" s="839"/>
      <c r="S133" s="839"/>
    </row>
    <row r="134" spans="1:19" hidden="1">
      <c r="A134" s="1062">
        <f t="shared" si="16"/>
        <v>9.5899999999999874</v>
      </c>
      <c r="B134" s="839"/>
      <c r="C134" s="1031">
        <f t="shared" si="14"/>
        <v>0</v>
      </c>
      <c r="D134" s="1031">
        <f t="shared" si="12"/>
        <v>0</v>
      </c>
      <c r="E134" s="1031"/>
      <c r="F134" s="1031"/>
      <c r="G134" s="1031">
        <f t="shared" ref="G134:G174" si="17">ROUND(SUM(C134:F134)/2,0)</f>
        <v>0</v>
      </c>
      <c r="H134" s="1031"/>
      <c r="I134" s="1031">
        <f t="shared" si="15"/>
        <v>0</v>
      </c>
      <c r="J134" s="1031">
        <f t="shared" si="15"/>
        <v>0</v>
      </c>
      <c r="K134" s="1031">
        <f t="shared" si="15"/>
        <v>0</v>
      </c>
      <c r="L134" s="1031"/>
      <c r="M134" s="839"/>
      <c r="N134" s="839"/>
      <c r="O134" s="839"/>
      <c r="P134" s="1031"/>
      <c r="Q134" s="839"/>
      <c r="R134" s="839"/>
      <c r="S134" s="839"/>
    </row>
    <row r="135" spans="1:19" hidden="1">
      <c r="A135" s="1062">
        <f t="shared" si="16"/>
        <v>9.5999999999999872</v>
      </c>
      <c r="B135" s="839"/>
      <c r="C135" s="1031">
        <f t="shared" si="14"/>
        <v>0</v>
      </c>
      <c r="D135" s="1031">
        <f t="shared" si="12"/>
        <v>0</v>
      </c>
      <c r="E135" s="1031"/>
      <c r="F135" s="1031"/>
      <c r="G135" s="1031">
        <f t="shared" si="17"/>
        <v>0</v>
      </c>
      <c r="H135" s="1031"/>
      <c r="I135" s="1031">
        <f t="shared" si="15"/>
        <v>0</v>
      </c>
      <c r="J135" s="1031">
        <f t="shared" si="15"/>
        <v>0</v>
      </c>
      <c r="K135" s="1031">
        <f t="shared" si="15"/>
        <v>0</v>
      </c>
      <c r="L135" s="1031"/>
      <c r="M135" s="839"/>
      <c r="N135" s="839"/>
      <c r="O135" s="839"/>
      <c r="P135" s="1031"/>
      <c r="Q135" s="839"/>
      <c r="R135" s="839"/>
      <c r="S135" s="839"/>
    </row>
    <row r="136" spans="1:19" hidden="1">
      <c r="A136" s="1062">
        <f t="shared" si="16"/>
        <v>9.609999999999987</v>
      </c>
      <c r="B136" s="839"/>
      <c r="C136" s="1031">
        <f t="shared" si="14"/>
        <v>0</v>
      </c>
      <c r="D136" s="1031">
        <f t="shared" si="12"/>
        <v>0</v>
      </c>
      <c r="E136" s="1031"/>
      <c r="F136" s="1031"/>
      <c r="G136" s="1031">
        <f t="shared" si="17"/>
        <v>0</v>
      </c>
      <c r="H136" s="1031"/>
      <c r="I136" s="1031">
        <f t="shared" si="15"/>
        <v>0</v>
      </c>
      <c r="J136" s="1031">
        <f t="shared" si="15"/>
        <v>0</v>
      </c>
      <c r="K136" s="1031">
        <f t="shared" si="15"/>
        <v>0</v>
      </c>
      <c r="L136" s="1031"/>
      <c r="M136" s="839"/>
      <c r="N136" s="839"/>
      <c r="O136" s="839"/>
      <c r="P136" s="1031"/>
      <c r="Q136" s="839"/>
      <c r="R136" s="839"/>
      <c r="S136" s="839"/>
    </row>
    <row r="137" spans="1:19" hidden="1">
      <c r="A137" s="1062">
        <f t="shared" si="16"/>
        <v>9.6199999999999868</v>
      </c>
      <c r="B137" s="839"/>
      <c r="C137" s="1031">
        <f t="shared" si="14"/>
        <v>0</v>
      </c>
      <c r="D137" s="1031">
        <f t="shared" si="12"/>
        <v>0</v>
      </c>
      <c r="E137" s="1031"/>
      <c r="F137" s="1031"/>
      <c r="G137" s="1031">
        <f t="shared" si="17"/>
        <v>0</v>
      </c>
      <c r="H137" s="1031"/>
      <c r="I137" s="1031">
        <f t="shared" ref="I137:K157" si="18">(M137+Q137)/2</f>
        <v>0</v>
      </c>
      <c r="J137" s="1031">
        <f t="shared" si="18"/>
        <v>0</v>
      </c>
      <c r="K137" s="1031">
        <f t="shared" si="18"/>
        <v>0</v>
      </c>
      <c r="L137" s="1031"/>
      <c r="M137" s="839"/>
      <c r="N137" s="839"/>
      <c r="O137" s="839"/>
      <c r="P137" s="1031"/>
      <c r="Q137" s="839"/>
      <c r="R137" s="839"/>
      <c r="S137" s="839"/>
    </row>
    <row r="138" spans="1:19" hidden="1">
      <c r="A138" s="1062">
        <f t="shared" si="16"/>
        <v>9.6299999999999866</v>
      </c>
      <c r="B138" s="839"/>
      <c r="C138" s="1031">
        <f t="shared" si="14"/>
        <v>0</v>
      </c>
      <c r="D138" s="1031">
        <f t="shared" si="12"/>
        <v>0</v>
      </c>
      <c r="E138" s="1031"/>
      <c r="F138" s="1031"/>
      <c r="G138" s="1031">
        <f t="shared" si="17"/>
        <v>0</v>
      </c>
      <c r="H138" s="1031"/>
      <c r="I138" s="1031">
        <f t="shared" si="18"/>
        <v>0</v>
      </c>
      <c r="J138" s="1031">
        <f t="shared" si="18"/>
        <v>0</v>
      </c>
      <c r="K138" s="1031">
        <f t="shared" si="18"/>
        <v>0</v>
      </c>
      <c r="L138" s="1031"/>
      <c r="M138" s="839"/>
      <c r="N138" s="839"/>
      <c r="O138" s="839"/>
      <c r="P138" s="1031"/>
      <c r="Q138" s="839"/>
      <c r="R138" s="839"/>
      <c r="S138" s="839"/>
    </row>
    <row r="139" spans="1:19" hidden="1">
      <c r="A139" s="1062">
        <f t="shared" si="16"/>
        <v>9.6399999999999864</v>
      </c>
      <c r="B139" s="839"/>
      <c r="C139" s="1036">
        <f t="shared" si="14"/>
        <v>0</v>
      </c>
      <c r="D139" s="1036">
        <f t="shared" si="12"/>
        <v>0</v>
      </c>
      <c r="E139" s="1036"/>
      <c r="F139" s="1036"/>
      <c r="G139" s="1036">
        <f t="shared" si="17"/>
        <v>0</v>
      </c>
      <c r="H139" s="1036"/>
      <c r="I139" s="1036">
        <f t="shared" si="18"/>
        <v>0</v>
      </c>
      <c r="J139" s="1036">
        <f t="shared" si="18"/>
        <v>0</v>
      </c>
      <c r="K139" s="1036">
        <f t="shared" si="18"/>
        <v>0</v>
      </c>
      <c r="L139" s="1036"/>
      <c r="M139" s="839"/>
      <c r="N139" s="839"/>
      <c r="O139" s="839"/>
      <c r="P139" s="1036"/>
      <c r="Q139" s="839"/>
      <c r="R139" s="839"/>
      <c r="S139" s="839"/>
    </row>
    <row r="140" spans="1:19" hidden="1">
      <c r="A140" s="1062">
        <f>A139+0.01</f>
        <v>9.6499999999999861</v>
      </c>
      <c r="B140" s="839"/>
      <c r="C140" s="1031">
        <f t="shared" si="14"/>
        <v>0</v>
      </c>
      <c r="D140" s="1031">
        <f t="shared" ref="D140:D168" si="19">SUM(Q140:S140)</f>
        <v>0</v>
      </c>
      <c r="E140" s="1031"/>
      <c r="F140" s="1031"/>
      <c r="G140" s="1031">
        <f t="shared" si="17"/>
        <v>0</v>
      </c>
      <c r="H140" s="1031"/>
      <c r="I140" s="1031">
        <f t="shared" si="18"/>
        <v>0</v>
      </c>
      <c r="J140" s="1031">
        <f t="shared" si="18"/>
        <v>0</v>
      </c>
      <c r="K140" s="1031">
        <f t="shared" si="18"/>
        <v>0</v>
      </c>
      <c r="L140" s="1031"/>
      <c r="M140" s="839"/>
      <c r="N140" s="839"/>
      <c r="O140" s="839"/>
      <c r="P140" s="1031"/>
      <c r="Q140" s="839"/>
      <c r="R140" s="839"/>
      <c r="S140" s="839"/>
    </row>
    <row r="141" spans="1:19" hidden="1">
      <c r="A141" s="1062">
        <f t="shared" si="16"/>
        <v>9.6599999999999859</v>
      </c>
      <c r="B141" s="839"/>
      <c r="C141" s="1031">
        <f t="shared" ref="C141:C168" si="20">SUM(M141:O141)</f>
        <v>0</v>
      </c>
      <c r="D141" s="1031">
        <f t="shared" si="19"/>
        <v>0</v>
      </c>
      <c r="E141" s="1031"/>
      <c r="F141" s="1031"/>
      <c r="G141" s="1031">
        <f t="shared" si="17"/>
        <v>0</v>
      </c>
      <c r="H141" s="1031"/>
      <c r="I141" s="1031">
        <f t="shared" si="18"/>
        <v>0</v>
      </c>
      <c r="J141" s="1031">
        <f t="shared" si="18"/>
        <v>0</v>
      </c>
      <c r="K141" s="1031">
        <f t="shared" si="18"/>
        <v>0</v>
      </c>
      <c r="L141" s="1031"/>
      <c r="M141" s="839"/>
      <c r="N141" s="839"/>
      <c r="O141" s="839"/>
      <c r="P141" s="1031"/>
      <c r="Q141" s="839"/>
      <c r="R141" s="839"/>
      <c r="S141" s="839"/>
    </row>
    <row r="142" spans="1:19" hidden="1">
      <c r="A142" s="1062">
        <f t="shared" ref="A142:A174" si="21">A141+0.01</f>
        <v>9.6699999999999857</v>
      </c>
      <c r="B142" s="839"/>
      <c r="C142" s="1031">
        <f t="shared" si="20"/>
        <v>0</v>
      </c>
      <c r="D142" s="1031">
        <f t="shared" si="19"/>
        <v>0</v>
      </c>
      <c r="E142" s="1031"/>
      <c r="F142" s="1031"/>
      <c r="G142" s="1031">
        <f t="shared" si="17"/>
        <v>0</v>
      </c>
      <c r="H142" s="1031"/>
      <c r="I142" s="1031">
        <f t="shared" si="18"/>
        <v>0</v>
      </c>
      <c r="J142" s="1031">
        <f t="shared" si="18"/>
        <v>0</v>
      </c>
      <c r="K142" s="1031">
        <f t="shared" si="18"/>
        <v>0</v>
      </c>
      <c r="L142" s="1031"/>
      <c r="M142" s="839"/>
      <c r="N142" s="839"/>
      <c r="O142" s="839"/>
      <c r="P142" s="1031"/>
      <c r="Q142" s="839"/>
      <c r="R142" s="839"/>
      <c r="S142" s="839"/>
    </row>
    <row r="143" spans="1:19" hidden="1">
      <c r="A143" s="1062">
        <f t="shared" si="21"/>
        <v>9.6799999999999855</v>
      </c>
      <c r="B143" s="839"/>
      <c r="C143" s="1031">
        <f t="shared" si="20"/>
        <v>0</v>
      </c>
      <c r="D143" s="1031">
        <f t="shared" si="19"/>
        <v>0</v>
      </c>
      <c r="E143" s="1031"/>
      <c r="F143" s="1031"/>
      <c r="G143" s="1031">
        <f t="shared" si="17"/>
        <v>0</v>
      </c>
      <c r="H143" s="1031"/>
      <c r="I143" s="1031">
        <f t="shared" si="18"/>
        <v>0</v>
      </c>
      <c r="J143" s="1031">
        <f t="shared" si="18"/>
        <v>0</v>
      </c>
      <c r="K143" s="1031">
        <f t="shared" si="18"/>
        <v>0</v>
      </c>
      <c r="L143" s="1031"/>
      <c r="M143" s="839"/>
      <c r="N143" s="839"/>
      <c r="O143" s="839"/>
      <c r="P143" s="1031"/>
      <c r="Q143" s="839"/>
      <c r="R143" s="839"/>
      <c r="S143" s="839"/>
    </row>
    <row r="144" spans="1:19" hidden="1">
      <c r="A144" s="1062">
        <f t="shared" si="21"/>
        <v>9.6899999999999853</v>
      </c>
      <c r="B144" s="839"/>
      <c r="C144" s="1031">
        <f t="shared" si="20"/>
        <v>0</v>
      </c>
      <c r="D144" s="1031">
        <f t="shared" si="19"/>
        <v>0</v>
      </c>
      <c r="E144" s="1031"/>
      <c r="F144" s="1031"/>
      <c r="G144" s="1031">
        <f t="shared" si="17"/>
        <v>0</v>
      </c>
      <c r="H144" s="1031"/>
      <c r="I144" s="1031">
        <f t="shared" si="18"/>
        <v>0</v>
      </c>
      <c r="J144" s="1031">
        <f t="shared" si="18"/>
        <v>0</v>
      </c>
      <c r="K144" s="1031">
        <f t="shared" si="18"/>
        <v>0</v>
      </c>
      <c r="L144" s="1031"/>
      <c r="M144" s="839"/>
      <c r="N144" s="839"/>
      <c r="O144" s="839"/>
      <c r="P144" s="1031"/>
      <c r="Q144" s="839"/>
      <c r="R144" s="839"/>
      <c r="S144" s="839"/>
    </row>
    <row r="145" spans="1:19" hidden="1">
      <c r="A145" s="1062">
        <f t="shared" si="21"/>
        <v>9.6999999999999851</v>
      </c>
      <c r="B145" s="839"/>
      <c r="C145" s="1031">
        <f>SUM(M145:O145)</f>
        <v>0</v>
      </c>
      <c r="D145" s="1031">
        <f t="shared" si="19"/>
        <v>0</v>
      </c>
      <c r="E145" s="1031"/>
      <c r="F145" s="1031"/>
      <c r="G145" s="1031">
        <f t="shared" si="17"/>
        <v>0</v>
      </c>
      <c r="H145" s="1031"/>
      <c r="I145" s="1031">
        <f t="shared" si="18"/>
        <v>0</v>
      </c>
      <c r="J145" s="1031">
        <f t="shared" si="18"/>
        <v>0</v>
      </c>
      <c r="K145" s="1031">
        <f t="shared" si="18"/>
        <v>0</v>
      </c>
      <c r="L145" s="1031"/>
      <c r="M145" s="839"/>
      <c r="N145" s="839"/>
      <c r="O145" s="839"/>
      <c r="P145" s="1031"/>
      <c r="Q145" s="839"/>
      <c r="R145" s="839"/>
      <c r="S145" s="839"/>
    </row>
    <row r="146" spans="1:19" hidden="1">
      <c r="A146" s="1062">
        <f t="shared" si="21"/>
        <v>9.7099999999999849</v>
      </c>
      <c r="B146" s="839"/>
      <c r="C146" s="1031">
        <f t="shared" si="20"/>
        <v>0</v>
      </c>
      <c r="D146" s="1031">
        <f t="shared" si="19"/>
        <v>0</v>
      </c>
      <c r="E146" s="1031"/>
      <c r="F146" s="1031"/>
      <c r="G146" s="1031">
        <f t="shared" si="17"/>
        <v>0</v>
      </c>
      <c r="H146" s="1031"/>
      <c r="I146" s="1031">
        <f t="shared" si="18"/>
        <v>0</v>
      </c>
      <c r="J146" s="1031">
        <f t="shared" si="18"/>
        <v>0</v>
      </c>
      <c r="K146" s="1031">
        <f t="shared" si="18"/>
        <v>0</v>
      </c>
      <c r="L146" s="1031"/>
      <c r="M146" s="839"/>
      <c r="N146" s="839"/>
      <c r="O146" s="839"/>
      <c r="P146" s="1031"/>
      <c r="Q146" s="839"/>
      <c r="R146" s="839"/>
      <c r="S146" s="839"/>
    </row>
    <row r="147" spans="1:19" hidden="1">
      <c r="A147" s="1062">
        <f t="shared" si="21"/>
        <v>9.7199999999999847</v>
      </c>
      <c r="B147" s="839"/>
      <c r="C147" s="1031">
        <f>SUM(M147:O147)</f>
        <v>0</v>
      </c>
      <c r="D147" s="1031">
        <f t="shared" si="19"/>
        <v>0</v>
      </c>
      <c r="E147" s="1031"/>
      <c r="F147" s="1031"/>
      <c r="G147" s="1031">
        <f t="shared" si="17"/>
        <v>0</v>
      </c>
      <c r="H147" s="1031"/>
      <c r="I147" s="1031">
        <f t="shared" si="18"/>
        <v>0</v>
      </c>
      <c r="J147" s="1031">
        <f t="shared" si="18"/>
        <v>0</v>
      </c>
      <c r="K147" s="1031">
        <f t="shared" si="18"/>
        <v>0</v>
      </c>
      <c r="L147" s="1031"/>
      <c r="M147" s="839"/>
      <c r="N147" s="839"/>
      <c r="O147" s="839"/>
      <c r="P147" s="1031"/>
      <c r="Q147" s="839"/>
      <c r="R147" s="839"/>
      <c r="S147" s="839"/>
    </row>
    <row r="148" spans="1:19" hidden="1">
      <c r="A148" s="1062">
        <f t="shared" si="21"/>
        <v>9.7299999999999844</v>
      </c>
      <c r="B148" s="839"/>
      <c r="C148" s="1031">
        <f>SUM(M148:O148)</f>
        <v>0</v>
      </c>
      <c r="D148" s="1031">
        <f t="shared" si="19"/>
        <v>0</v>
      </c>
      <c r="E148" s="1031"/>
      <c r="F148" s="1031"/>
      <c r="G148" s="1031">
        <f t="shared" si="17"/>
        <v>0</v>
      </c>
      <c r="H148" s="1031"/>
      <c r="I148" s="1031">
        <f t="shared" si="18"/>
        <v>0</v>
      </c>
      <c r="J148" s="1031">
        <f t="shared" si="18"/>
        <v>0</v>
      </c>
      <c r="K148" s="1031">
        <f t="shared" si="18"/>
        <v>0</v>
      </c>
      <c r="L148" s="1031"/>
      <c r="M148" s="839"/>
      <c r="N148" s="839"/>
      <c r="O148" s="839"/>
      <c r="P148" s="1031"/>
      <c r="Q148" s="839"/>
      <c r="R148" s="839"/>
      <c r="S148" s="839"/>
    </row>
    <row r="149" spans="1:19" hidden="1">
      <c r="A149" s="1062">
        <f t="shared" si="21"/>
        <v>9.7399999999999842</v>
      </c>
      <c r="B149" s="839"/>
      <c r="C149" s="1031">
        <f>SUM(M149:O149)</f>
        <v>0</v>
      </c>
      <c r="D149" s="1031">
        <f t="shared" si="19"/>
        <v>0</v>
      </c>
      <c r="E149" s="1031"/>
      <c r="F149" s="1031"/>
      <c r="G149" s="1031">
        <f t="shared" si="17"/>
        <v>0</v>
      </c>
      <c r="H149" s="1031"/>
      <c r="I149" s="1031">
        <f t="shared" si="18"/>
        <v>0</v>
      </c>
      <c r="J149" s="1031">
        <f t="shared" si="18"/>
        <v>0</v>
      </c>
      <c r="K149" s="1031">
        <f t="shared" si="18"/>
        <v>0</v>
      </c>
      <c r="L149" s="1031"/>
      <c r="M149" s="839"/>
      <c r="N149" s="839"/>
      <c r="O149" s="839"/>
      <c r="P149" s="1031"/>
      <c r="Q149" s="839"/>
      <c r="R149" s="839"/>
      <c r="S149" s="839"/>
    </row>
    <row r="150" spans="1:19" hidden="1">
      <c r="A150" s="1062">
        <f t="shared" si="21"/>
        <v>9.749999999999984</v>
      </c>
      <c r="B150" s="839"/>
      <c r="C150" s="1031">
        <f>SUM(M150:O150)</f>
        <v>0</v>
      </c>
      <c r="D150" s="1031">
        <f t="shared" si="19"/>
        <v>0</v>
      </c>
      <c r="E150" s="1031"/>
      <c r="F150" s="1031"/>
      <c r="G150" s="1031">
        <f t="shared" si="17"/>
        <v>0</v>
      </c>
      <c r="H150" s="1031"/>
      <c r="I150" s="1031">
        <f t="shared" si="18"/>
        <v>0</v>
      </c>
      <c r="J150" s="1031">
        <f t="shared" si="18"/>
        <v>0</v>
      </c>
      <c r="K150" s="1031">
        <f t="shared" si="18"/>
        <v>0</v>
      </c>
      <c r="L150" s="1031"/>
      <c r="M150" s="839"/>
      <c r="N150" s="839"/>
      <c r="O150" s="839"/>
      <c r="P150" s="1031"/>
      <c r="Q150" s="839"/>
      <c r="R150" s="839"/>
      <c r="S150" s="839"/>
    </row>
    <row r="151" spans="1:19" hidden="1">
      <c r="A151" s="1062">
        <f t="shared" si="21"/>
        <v>9.7599999999999838</v>
      </c>
      <c r="B151" s="839"/>
      <c r="C151" s="1031">
        <f t="shared" si="20"/>
        <v>0</v>
      </c>
      <c r="D151" s="1031">
        <f t="shared" si="19"/>
        <v>0</v>
      </c>
      <c r="E151" s="1031"/>
      <c r="F151" s="1031"/>
      <c r="G151" s="1031">
        <f t="shared" si="17"/>
        <v>0</v>
      </c>
      <c r="H151" s="1031"/>
      <c r="I151" s="1031">
        <f t="shared" si="18"/>
        <v>0</v>
      </c>
      <c r="J151" s="1031">
        <f t="shared" si="18"/>
        <v>0</v>
      </c>
      <c r="K151" s="1031">
        <f t="shared" si="18"/>
        <v>0</v>
      </c>
      <c r="L151" s="1031"/>
      <c r="M151" s="839"/>
      <c r="N151" s="839"/>
      <c r="O151" s="839"/>
      <c r="P151" s="1031"/>
      <c r="Q151" s="839"/>
      <c r="R151" s="839"/>
      <c r="S151" s="839"/>
    </row>
    <row r="152" spans="1:19" hidden="1">
      <c r="A152" s="1062">
        <f t="shared" si="21"/>
        <v>9.7699999999999836</v>
      </c>
      <c r="B152" s="839"/>
      <c r="C152" s="1031">
        <f t="shared" si="20"/>
        <v>0</v>
      </c>
      <c r="D152" s="1031">
        <f t="shared" si="19"/>
        <v>0</v>
      </c>
      <c r="E152" s="1031"/>
      <c r="F152" s="1031"/>
      <c r="G152" s="1031">
        <f t="shared" si="17"/>
        <v>0</v>
      </c>
      <c r="H152" s="1031"/>
      <c r="I152" s="1031">
        <f t="shared" si="18"/>
        <v>0</v>
      </c>
      <c r="J152" s="1031">
        <f t="shared" si="18"/>
        <v>0</v>
      </c>
      <c r="K152" s="1031">
        <f t="shared" si="18"/>
        <v>0</v>
      </c>
      <c r="L152" s="1031"/>
      <c r="M152" s="839"/>
      <c r="N152" s="839"/>
      <c r="O152" s="839"/>
      <c r="P152" s="1031"/>
      <c r="Q152" s="839"/>
      <c r="R152" s="839"/>
      <c r="S152" s="839"/>
    </row>
    <row r="153" spans="1:19" hidden="1">
      <c r="A153" s="1062">
        <f t="shared" si="21"/>
        <v>9.7799999999999834</v>
      </c>
      <c r="B153" s="839"/>
      <c r="C153" s="1031">
        <f t="shared" si="20"/>
        <v>0</v>
      </c>
      <c r="D153" s="1031">
        <f t="shared" si="19"/>
        <v>0</v>
      </c>
      <c r="E153" s="1031"/>
      <c r="F153" s="1031"/>
      <c r="G153" s="1031">
        <f t="shared" si="17"/>
        <v>0</v>
      </c>
      <c r="H153" s="1031"/>
      <c r="I153" s="1031">
        <f t="shared" si="18"/>
        <v>0</v>
      </c>
      <c r="J153" s="1031">
        <f t="shared" si="18"/>
        <v>0</v>
      </c>
      <c r="K153" s="1031">
        <f t="shared" si="18"/>
        <v>0</v>
      </c>
      <c r="L153" s="1031"/>
      <c r="M153" s="839"/>
      <c r="N153" s="839"/>
      <c r="O153" s="839"/>
      <c r="P153" s="1031"/>
      <c r="Q153" s="839"/>
      <c r="R153" s="839"/>
      <c r="S153" s="839"/>
    </row>
    <row r="154" spans="1:19" hidden="1">
      <c r="A154" s="1062">
        <f t="shared" si="21"/>
        <v>9.7899999999999832</v>
      </c>
      <c r="B154" s="839"/>
      <c r="C154" s="1031">
        <f t="shared" si="20"/>
        <v>0</v>
      </c>
      <c r="D154" s="1031">
        <f t="shared" si="19"/>
        <v>0</v>
      </c>
      <c r="E154" s="1031"/>
      <c r="F154" s="1031"/>
      <c r="G154" s="1031">
        <f t="shared" si="17"/>
        <v>0</v>
      </c>
      <c r="H154" s="1031"/>
      <c r="I154" s="1031">
        <f t="shared" si="18"/>
        <v>0</v>
      </c>
      <c r="J154" s="1031">
        <f t="shared" si="18"/>
        <v>0</v>
      </c>
      <c r="K154" s="1031">
        <f t="shared" si="18"/>
        <v>0</v>
      </c>
      <c r="L154" s="1031"/>
      <c r="M154" s="839"/>
      <c r="N154" s="839"/>
      <c r="O154" s="839"/>
      <c r="P154" s="1031"/>
      <c r="Q154" s="839"/>
      <c r="R154" s="839"/>
      <c r="S154" s="839"/>
    </row>
    <row r="155" spans="1:19" hidden="1">
      <c r="A155" s="1062">
        <f t="shared" si="21"/>
        <v>9.7999999999999829</v>
      </c>
      <c r="B155" s="839"/>
      <c r="C155" s="1031">
        <f t="shared" si="20"/>
        <v>0</v>
      </c>
      <c r="D155" s="1031">
        <f t="shared" si="19"/>
        <v>0</v>
      </c>
      <c r="E155" s="1031"/>
      <c r="F155" s="1031"/>
      <c r="G155" s="1031">
        <f t="shared" si="17"/>
        <v>0</v>
      </c>
      <c r="H155" s="1031"/>
      <c r="I155" s="1031">
        <f t="shared" si="18"/>
        <v>0</v>
      </c>
      <c r="J155" s="1031">
        <f t="shared" si="18"/>
        <v>0</v>
      </c>
      <c r="K155" s="1031">
        <f t="shared" si="18"/>
        <v>0</v>
      </c>
      <c r="L155" s="1031"/>
      <c r="M155" s="839"/>
      <c r="N155" s="839"/>
      <c r="O155" s="839"/>
      <c r="P155" s="1031"/>
      <c r="Q155" s="839"/>
      <c r="R155" s="839"/>
      <c r="S155" s="839"/>
    </row>
    <row r="156" spans="1:19" hidden="1">
      <c r="A156" s="1062">
        <f t="shared" si="21"/>
        <v>9.8099999999999827</v>
      </c>
      <c r="B156" s="839"/>
      <c r="C156" s="1031">
        <f t="shared" si="20"/>
        <v>0</v>
      </c>
      <c r="D156" s="1031">
        <f t="shared" si="19"/>
        <v>0</v>
      </c>
      <c r="E156" s="1031"/>
      <c r="F156" s="1031"/>
      <c r="G156" s="1031">
        <f t="shared" si="17"/>
        <v>0</v>
      </c>
      <c r="H156" s="1031"/>
      <c r="I156" s="1031">
        <f t="shared" si="18"/>
        <v>0</v>
      </c>
      <c r="J156" s="1031">
        <f t="shared" si="18"/>
        <v>0</v>
      </c>
      <c r="K156" s="1031">
        <f t="shared" si="18"/>
        <v>0</v>
      </c>
      <c r="L156" s="1031"/>
      <c r="M156" s="839"/>
      <c r="N156" s="839"/>
      <c r="O156" s="839"/>
      <c r="P156" s="1031"/>
      <c r="Q156" s="839"/>
      <c r="R156" s="839"/>
      <c r="S156" s="839"/>
    </row>
    <row r="157" spans="1:19" hidden="1">
      <c r="A157" s="1062">
        <f t="shared" si="21"/>
        <v>9.8199999999999825</v>
      </c>
      <c r="B157" s="839"/>
      <c r="C157" s="1031">
        <f t="shared" si="20"/>
        <v>0</v>
      </c>
      <c r="D157" s="1031">
        <f t="shared" si="19"/>
        <v>0</v>
      </c>
      <c r="E157" s="1031"/>
      <c r="F157" s="1031"/>
      <c r="G157" s="1031">
        <f t="shared" si="17"/>
        <v>0</v>
      </c>
      <c r="H157" s="1031"/>
      <c r="I157" s="1031">
        <f t="shared" si="18"/>
        <v>0</v>
      </c>
      <c r="J157" s="1031">
        <f t="shared" si="18"/>
        <v>0</v>
      </c>
      <c r="K157" s="1031">
        <f t="shared" si="18"/>
        <v>0</v>
      </c>
      <c r="L157" s="1031"/>
      <c r="M157" s="839"/>
      <c r="N157" s="839"/>
      <c r="O157" s="839"/>
      <c r="P157" s="1031"/>
      <c r="Q157" s="839"/>
      <c r="R157" s="839"/>
      <c r="S157" s="839"/>
    </row>
    <row r="158" spans="1:19" hidden="1">
      <c r="A158" s="1062">
        <f t="shared" si="21"/>
        <v>9.8299999999999823</v>
      </c>
      <c r="B158" s="839"/>
      <c r="C158" s="1031">
        <f>SUM(M158:O158)</f>
        <v>0</v>
      </c>
      <c r="D158" s="1031">
        <f t="shared" si="19"/>
        <v>0</v>
      </c>
      <c r="E158" s="1031"/>
      <c r="F158" s="1031"/>
      <c r="G158" s="1031">
        <f t="shared" si="17"/>
        <v>0</v>
      </c>
      <c r="H158" s="1031"/>
      <c r="I158" s="1031">
        <f t="shared" ref="I158:K168" si="22">(M158+Q158)/2</f>
        <v>0</v>
      </c>
      <c r="J158" s="1031">
        <f t="shared" si="22"/>
        <v>0</v>
      </c>
      <c r="K158" s="1031">
        <f t="shared" si="22"/>
        <v>0</v>
      </c>
      <c r="L158" s="1031"/>
      <c r="M158" s="839"/>
      <c r="N158" s="839"/>
      <c r="O158" s="839"/>
      <c r="P158" s="1031"/>
      <c r="Q158" s="839"/>
      <c r="R158" s="839"/>
      <c r="S158" s="839"/>
    </row>
    <row r="159" spans="1:19" hidden="1">
      <c r="A159" s="1062">
        <f t="shared" si="21"/>
        <v>9.8399999999999821</v>
      </c>
      <c r="B159" s="839"/>
      <c r="C159" s="1031">
        <f>SUM(M159:O159)</f>
        <v>0</v>
      </c>
      <c r="D159" s="1031">
        <f t="shared" si="19"/>
        <v>0</v>
      </c>
      <c r="E159" s="1031"/>
      <c r="F159" s="1031"/>
      <c r="G159" s="1031">
        <f t="shared" si="17"/>
        <v>0</v>
      </c>
      <c r="H159" s="1031"/>
      <c r="I159" s="1031">
        <f t="shared" si="22"/>
        <v>0</v>
      </c>
      <c r="J159" s="1031">
        <f t="shared" si="22"/>
        <v>0</v>
      </c>
      <c r="K159" s="1031">
        <f t="shared" si="22"/>
        <v>0</v>
      </c>
      <c r="L159" s="1031"/>
      <c r="M159" s="839"/>
      <c r="N159" s="839"/>
      <c r="O159" s="839"/>
      <c r="P159" s="1031"/>
      <c r="Q159" s="839"/>
      <c r="R159" s="839"/>
      <c r="S159" s="839"/>
    </row>
    <row r="160" spans="1:19" hidden="1">
      <c r="A160" s="1062">
        <f t="shared" si="21"/>
        <v>9.8499999999999819</v>
      </c>
      <c r="B160" s="839"/>
      <c r="C160" s="1031">
        <f>SUM(M160:O160)</f>
        <v>0</v>
      </c>
      <c r="D160" s="1031">
        <f t="shared" si="19"/>
        <v>0</v>
      </c>
      <c r="E160" s="1031"/>
      <c r="F160" s="1031"/>
      <c r="G160" s="1031">
        <f t="shared" si="17"/>
        <v>0</v>
      </c>
      <c r="H160" s="1031"/>
      <c r="I160" s="1031">
        <f t="shared" si="22"/>
        <v>0</v>
      </c>
      <c r="J160" s="1031">
        <f t="shared" si="22"/>
        <v>0</v>
      </c>
      <c r="K160" s="1031">
        <f t="shared" si="22"/>
        <v>0</v>
      </c>
      <c r="L160" s="1031"/>
      <c r="M160" s="839"/>
      <c r="N160" s="839"/>
      <c r="O160" s="839"/>
      <c r="P160" s="1031"/>
      <c r="Q160" s="839"/>
      <c r="R160" s="839"/>
      <c r="S160" s="839"/>
    </row>
    <row r="161" spans="1:19" hidden="1">
      <c r="A161" s="1062">
        <f t="shared" si="21"/>
        <v>9.8599999999999817</v>
      </c>
      <c r="B161" s="839"/>
      <c r="C161" s="1031">
        <f>SUM(M161:O161)</f>
        <v>0</v>
      </c>
      <c r="D161" s="1031">
        <f t="shared" si="19"/>
        <v>0</v>
      </c>
      <c r="E161" s="1031"/>
      <c r="F161" s="1031"/>
      <c r="G161" s="1031">
        <f t="shared" si="17"/>
        <v>0</v>
      </c>
      <c r="H161" s="1031"/>
      <c r="I161" s="1031">
        <f t="shared" si="22"/>
        <v>0</v>
      </c>
      <c r="J161" s="1031">
        <f t="shared" si="22"/>
        <v>0</v>
      </c>
      <c r="K161" s="1031">
        <f t="shared" si="22"/>
        <v>0</v>
      </c>
      <c r="L161" s="1031"/>
      <c r="M161" s="839"/>
      <c r="N161" s="839"/>
      <c r="O161" s="839"/>
      <c r="P161" s="1031"/>
      <c r="Q161" s="839"/>
      <c r="R161" s="839"/>
      <c r="S161" s="839"/>
    </row>
    <row r="162" spans="1:19" hidden="1">
      <c r="A162" s="1062">
        <f t="shared" si="21"/>
        <v>9.8699999999999815</v>
      </c>
      <c r="B162" s="839"/>
      <c r="C162" s="1031">
        <f t="shared" si="20"/>
        <v>0</v>
      </c>
      <c r="D162" s="1031">
        <f t="shared" si="19"/>
        <v>0</v>
      </c>
      <c r="E162" s="1031"/>
      <c r="F162" s="1031"/>
      <c r="G162" s="1031">
        <f t="shared" si="17"/>
        <v>0</v>
      </c>
      <c r="H162" s="1031"/>
      <c r="I162" s="1031">
        <f t="shared" si="22"/>
        <v>0</v>
      </c>
      <c r="J162" s="1031">
        <f t="shared" si="22"/>
        <v>0</v>
      </c>
      <c r="K162" s="1031">
        <f t="shared" si="22"/>
        <v>0</v>
      </c>
      <c r="L162" s="1031"/>
      <c r="M162" s="839"/>
      <c r="N162" s="839"/>
      <c r="O162" s="839"/>
      <c r="P162" s="1031"/>
      <c r="Q162" s="839"/>
      <c r="R162" s="839"/>
      <c r="S162" s="839"/>
    </row>
    <row r="163" spans="1:19" hidden="1">
      <c r="A163" s="1062">
        <f t="shared" si="21"/>
        <v>9.8799999999999812</v>
      </c>
      <c r="B163" s="839"/>
      <c r="C163" s="1031">
        <f t="shared" si="20"/>
        <v>0</v>
      </c>
      <c r="D163" s="1031">
        <f t="shared" si="19"/>
        <v>0</v>
      </c>
      <c r="E163" s="1031"/>
      <c r="F163" s="1031"/>
      <c r="G163" s="1031">
        <f t="shared" si="17"/>
        <v>0</v>
      </c>
      <c r="H163" s="1031"/>
      <c r="I163" s="1031">
        <f t="shared" si="22"/>
        <v>0</v>
      </c>
      <c r="J163" s="1031">
        <f t="shared" si="22"/>
        <v>0</v>
      </c>
      <c r="K163" s="1031">
        <f t="shared" si="22"/>
        <v>0</v>
      </c>
      <c r="L163" s="1031"/>
      <c r="M163" s="839"/>
      <c r="N163" s="839"/>
      <c r="O163" s="839"/>
      <c r="P163" s="1031"/>
      <c r="Q163" s="839"/>
      <c r="R163" s="839"/>
      <c r="S163" s="839"/>
    </row>
    <row r="164" spans="1:19" hidden="1">
      <c r="A164" s="1062">
        <f t="shared" si="21"/>
        <v>9.889999999999981</v>
      </c>
      <c r="B164" s="839"/>
      <c r="C164" s="1031">
        <f t="shared" si="20"/>
        <v>0</v>
      </c>
      <c r="D164" s="1031">
        <f t="shared" si="19"/>
        <v>0</v>
      </c>
      <c r="E164" s="1031"/>
      <c r="F164" s="1031"/>
      <c r="G164" s="1031">
        <f t="shared" si="17"/>
        <v>0</v>
      </c>
      <c r="H164" s="1031"/>
      <c r="I164" s="1031">
        <f t="shared" si="22"/>
        <v>0</v>
      </c>
      <c r="J164" s="1031">
        <f t="shared" si="22"/>
        <v>0</v>
      </c>
      <c r="K164" s="1031">
        <f t="shared" si="22"/>
        <v>0</v>
      </c>
      <c r="L164" s="1031"/>
      <c r="M164" s="839"/>
      <c r="N164" s="839"/>
      <c r="O164" s="839"/>
      <c r="P164" s="1031"/>
      <c r="Q164" s="839"/>
      <c r="R164" s="839"/>
      <c r="S164" s="839"/>
    </row>
    <row r="165" spans="1:19" hidden="1">
      <c r="A165" s="1062">
        <f t="shared" si="21"/>
        <v>9.8999999999999808</v>
      </c>
      <c r="B165" s="839"/>
      <c r="C165" s="1031">
        <f t="shared" si="20"/>
        <v>0</v>
      </c>
      <c r="D165" s="1031">
        <f t="shared" si="19"/>
        <v>0</v>
      </c>
      <c r="E165" s="1031"/>
      <c r="F165" s="1031"/>
      <c r="G165" s="1031">
        <f t="shared" si="17"/>
        <v>0</v>
      </c>
      <c r="H165" s="1031"/>
      <c r="I165" s="1031">
        <f t="shared" si="22"/>
        <v>0</v>
      </c>
      <c r="J165" s="1031">
        <f t="shared" si="22"/>
        <v>0</v>
      </c>
      <c r="K165" s="1031">
        <f t="shared" si="22"/>
        <v>0</v>
      </c>
      <c r="L165" s="1031"/>
      <c r="M165" s="839"/>
      <c r="N165" s="839"/>
      <c r="O165" s="839"/>
      <c r="P165" s="1031"/>
      <c r="Q165" s="839"/>
      <c r="R165" s="839"/>
      <c r="S165" s="839"/>
    </row>
    <row r="166" spans="1:19" hidden="1">
      <c r="A166" s="1062">
        <f t="shared" si="21"/>
        <v>9.9099999999999806</v>
      </c>
      <c r="B166" s="839"/>
      <c r="C166" s="1031">
        <f t="shared" si="20"/>
        <v>0</v>
      </c>
      <c r="D166" s="1031">
        <f t="shared" si="19"/>
        <v>0</v>
      </c>
      <c r="E166" s="1031"/>
      <c r="F166" s="1031"/>
      <c r="G166" s="1031">
        <f>ROUND(SUM(C166:F166)/2,0)</f>
        <v>0</v>
      </c>
      <c r="H166" s="1031"/>
      <c r="I166" s="1031">
        <f t="shared" si="22"/>
        <v>0</v>
      </c>
      <c r="J166" s="1031">
        <f t="shared" si="22"/>
        <v>0</v>
      </c>
      <c r="K166" s="1031">
        <f t="shared" si="22"/>
        <v>0</v>
      </c>
      <c r="L166" s="1031"/>
      <c r="M166" s="839"/>
      <c r="N166" s="839"/>
      <c r="O166" s="839"/>
      <c r="P166" s="1031"/>
      <c r="Q166" s="839"/>
      <c r="R166" s="839"/>
      <c r="S166" s="839"/>
    </row>
    <row r="167" spans="1:19" hidden="1">
      <c r="A167" s="1062">
        <f t="shared" si="21"/>
        <v>9.9199999999999804</v>
      </c>
      <c r="B167" s="839"/>
      <c r="C167" s="1031">
        <f t="shared" si="20"/>
        <v>0</v>
      </c>
      <c r="D167" s="1031">
        <f t="shared" si="19"/>
        <v>0</v>
      </c>
      <c r="E167" s="1031"/>
      <c r="F167" s="1031"/>
      <c r="G167" s="1031">
        <f t="shared" si="17"/>
        <v>0</v>
      </c>
      <c r="H167" s="1031"/>
      <c r="I167" s="1031">
        <f t="shared" si="22"/>
        <v>0</v>
      </c>
      <c r="J167" s="1031">
        <f t="shared" si="22"/>
        <v>0</v>
      </c>
      <c r="K167" s="1031">
        <f t="shared" si="22"/>
        <v>0</v>
      </c>
      <c r="L167" s="1031"/>
      <c r="M167" s="839"/>
      <c r="N167" s="839"/>
      <c r="O167" s="839"/>
      <c r="P167" s="1031"/>
      <c r="Q167" s="839"/>
      <c r="R167" s="839"/>
      <c r="S167" s="839"/>
    </row>
    <row r="168" spans="1:19">
      <c r="A168" s="1062">
        <f t="shared" si="21"/>
        <v>9.9299999999999802</v>
      </c>
      <c r="B168" s="839"/>
      <c r="C168" s="1031">
        <f t="shared" si="20"/>
        <v>0</v>
      </c>
      <c r="D168" s="1031">
        <f t="shared" si="19"/>
        <v>0</v>
      </c>
      <c r="E168" s="1031"/>
      <c r="F168" s="1031"/>
      <c r="G168" s="1031">
        <f t="shared" si="17"/>
        <v>0</v>
      </c>
      <c r="H168" s="1031"/>
      <c r="I168" s="1031">
        <f t="shared" si="22"/>
        <v>0</v>
      </c>
      <c r="J168" s="1031">
        <f t="shared" si="22"/>
        <v>0</v>
      </c>
      <c r="K168" s="1031">
        <f t="shared" si="22"/>
        <v>0</v>
      </c>
      <c r="L168" s="1031"/>
      <c r="M168" s="839"/>
      <c r="N168" s="839"/>
      <c r="O168" s="839"/>
      <c r="P168" s="1031"/>
      <c r="Q168" s="839"/>
      <c r="R168" s="839"/>
      <c r="S168" s="839"/>
    </row>
    <row r="169" spans="1:19">
      <c r="A169" s="1062">
        <f t="shared" si="21"/>
        <v>9.93999999999998</v>
      </c>
      <c r="B169" s="839"/>
      <c r="C169" s="839"/>
      <c r="D169" s="839"/>
      <c r="E169" s="1031">
        <f t="shared" ref="E169:F174" si="23">-C169</f>
        <v>0</v>
      </c>
      <c r="F169" s="1031">
        <f t="shared" si="23"/>
        <v>0</v>
      </c>
      <c r="G169" s="1031">
        <f t="shared" si="17"/>
        <v>0</v>
      </c>
      <c r="H169" s="1031"/>
      <c r="I169" s="1031"/>
      <c r="J169" s="1031"/>
      <c r="K169" s="1031"/>
      <c r="L169" s="1031"/>
      <c r="M169" s="1031"/>
      <c r="N169" s="1031"/>
      <c r="O169" s="1031"/>
      <c r="P169" s="1031"/>
      <c r="Q169" s="1031"/>
      <c r="R169" s="1031"/>
      <c r="S169" s="1031"/>
    </row>
    <row r="170" spans="1:19">
      <c r="A170" s="1062">
        <f t="shared" si="21"/>
        <v>9.9499999999999797</v>
      </c>
      <c r="B170" s="839"/>
      <c r="C170" s="839"/>
      <c r="D170" s="839"/>
      <c r="E170" s="1031">
        <f t="shared" si="23"/>
        <v>0</v>
      </c>
      <c r="F170" s="1031">
        <f t="shared" si="23"/>
        <v>0</v>
      </c>
      <c r="G170" s="1031">
        <f t="shared" si="17"/>
        <v>0</v>
      </c>
      <c r="H170" s="1031"/>
      <c r="I170" s="1031"/>
      <c r="J170" s="1031"/>
      <c r="K170" s="1031"/>
      <c r="L170" s="1031"/>
      <c r="M170" s="1031"/>
      <c r="N170" s="1031"/>
      <c r="O170" s="1031"/>
      <c r="P170" s="1031"/>
      <c r="Q170" s="1031"/>
      <c r="R170" s="1031"/>
      <c r="S170" s="1031"/>
    </row>
    <row r="171" spans="1:19">
      <c r="A171" s="1062">
        <f t="shared" si="21"/>
        <v>9.9599999999999795</v>
      </c>
      <c r="B171" s="839"/>
      <c r="C171" s="839"/>
      <c r="D171" s="839"/>
      <c r="E171" s="1031">
        <f t="shared" si="23"/>
        <v>0</v>
      </c>
      <c r="F171" s="1031">
        <f t="shared" si="23"/>
        <v>0</v>
      </c>
      <c r="G171" s="1031">
        <f t="shared" si="17"/>
        <v>0</v>
      </c>
      <c r="H171" s="1031"/>
      <c r="I171" s="1031"/>
      <c r="J171" s="1031"/>
      <c r="K171" s="1031"/>
      <c r="L171" s="1031"/>
      <c r="M171" s="1031"/>
      <c r="N171" s="1031"/>
      <c r="O171" s="1031"/>
      <c r="P171" s="1031"/>
      <c r="Q171" s="1031"/>
      <c r="R171" s="1031"/>
      <c r="S171" s="1031"/>
    </row>
    <row r="172" spans="1:19">
      <c r="A172" s="1062">
        <f t="shared" si="21"/>
        <v>9.9699999999999793</v>
      </c>
      <c r="B172" s="839"/>
      <c r="C172" s="839"/>
      <c r="D172" s="839"/>
      <c r="E172" s="1031">
        <f>-C172</f>
        <v>0</v>
      </c>
      <c r="F172" s="1031">
        <f>-D172</f>
        <v>0</v>
      </c>
      <c r="G172" s="1031">
        <f t="shared" si="17"/>
        <v>0</v>
      </c>
      <c r="H172" s="1031"/>
      <c r="I172" s="1031"/>
      <c r="J172" s="1031"/>
      <c r="K172" s="1031"/>
      <c r="L172" s="1031"/>
      <c r="M172" s="1031"/>
      <c r="N172" s="1031"/>
      <c r="O172" s="1031"/>
      <c r="P172" s="1031"/>
      <c r="Q172" s="1031"/>
      <c r="R172" s="1031"/>
      <c r="S172" s="1031"/>
    </row>
    <row r="173" spans="1:19">
      <c r="A173" s="1062">
        <f t="shared" si="21"/>
        <v>9.9799999999999791</v>
      </c>
      <c r="B173" s="839"/>
      <c r="C173" s="839"/>
      <c r="D173" s="839"/>
      <c r="E173" s="1031">
        <f>-C173</f>
        <v>0</v>
      </c>
      <c r="F173" s="1031">
        <f>-D173</f>
        <v>0</v>
      </c>
      <c r="G173" s="1031">
        <f t="shared" si="17"/>
        <v>0</v>
      </c>
      <c r="H173" s="1031"/>
      <c r="I173" s="1031"/>
      <c r="J173" s="1031"/>
      <c r="K173" s="1031"/>
      <c r="L173" s="1031"/>
      <c r="M173" s="1031"/>
      <c r="N173" s="1031"/>
      <c r="O173" s="1031"/>
      <c r="P173" s="1031"/>
      <c r="Q173" s="1031"/>
      <c r="R173" s="1031"/>
      <c r="S173" s="1031"/>
    </row>
    <row r="174" spans="1:19">
      <c r="A174" s="1062">
        <f t="shared" si="21"/>
        <v>9.9899999999999789</v>
      </c>
      <c r="B174" s="839"/>
      <c r="C174" s="839"/>
      <c r="D174" s="839"/>
      <c r="E174" s="1031">
        <f t="shared" si="23"/>
        <v>0</v>
      </c>
      <c r="F174" s="1031">
        <f t="shared" si="23"/>
        <v>0</v>
      </c>
      <c r="G174" s="1031">
        <f t="shared" si="17"/>
        <v>0</v>
      </c>
      <c r="H174" s="1031"/>
      <c r="I174" s="1031"/>
      <c r="J174" s="1031"/>
      <c r="K174" s="1031"/>
      <c r="L174" s="1031"/>
      <c r="M174" s="1031"/>
      <c r="N174" s="1031"/>
      <c r="O174" s="1031"/>
      <c r="P174" s="1031"/>
      <c r="Q174" s="1031"/>
      <c r="R174" s="1031"/>
      <c r="S174" s="1031"/>
    </row>
    <row r="175" spans="1:19">
      <c r="A175" s="1042"/>
      <c r="B175" s="1021"/>
      <c r="C175" s="1031"/>
      <c r="D175" s="1031"/>
      <c r="E175" s="1031"/>
      <c r="F175" s="1031"/>
      <c r="G175" s="1031"/>
      <c r="H175" s="1031"/>
      <c r="I175" s="1031"/>
      <c r="J175" s="1031"/>
      <c r="K175" s="1031"/>
      <c r="L175" s="1031"/>
      <c r="M175" s="1031"/>
      <c r="N175" s="1031"/>
      <c r="O175" s="1031"/>
      <c r="P175" s="1031"/>
      <c r="Q175" s="1031"/>
      <c r="R175" s="1031"/>
      <c r="S175" s="1031"/>
    </row>
    <row r="176" spans="1:19">
      <c r="A176" s="1042"/>
      <c r="B176" s="1021"/>
      <c r="C176" s="1031"/>
      <c r="D176" s="1031"/>
      <c r="E176" s="1031"/>
      <c r="F176" s="1031"/>
      <c r="G176" s="1031"/>
      <c r="H176" s="1031"/>
      <c r="I176" s="1031"/>
      <c r="J176" s="1031"/>
      <c r="K176" s="1031"/>
      <c r="L176" s="1031"/>
      <c r="M176" s="1031"/>
      <c r="N176" s="1031"/>
      <c r="O176" s="1031"/>
      <c r="P176" s="1031"/>
      <c r="Q176" s="1031"/>
      <c r="R176" s="1031"/>
      <c r="S176" s="1031"/>
    </row>
    <row r="177" spans="1:19" ht="13.5" thickBot="1">
      <c r="A177" s="1042">
        <v>10</v>
      </c>
      <c r="B177" s="1022"/>
      <c r="C177" s="1034">
        <f>SUM(C76:C176)</f>
        <v>0</v>
      </c>
      <c r="D177" s="1034">
        <f>SUM(D76:D176)</f>
        <v>0</v>
      </c>
      <c r="E177" s="1034">
        <f>SUM(E76:E176)</f>
        <v>0</v>
      </c>
      <c r="F177" s="1034">
        <f>SUM(F76:F176)</f>
        <v>0</v>
      </c>
      <c r="G177" s="1034">
        <f>SUM(G76:G176)</f>
        <v>0</v>
      </c>
      <c r="H177" s="1038"/>
      <c r="I177" s="1034">
        <f>SUM(I76:I176)</f>
        <v>0</v>
      </c>
      <c r="J177" s="1034">
        <f>SUM(J76:J176)</f>
        <v>0</v>
      </c>
      <c r="K177" s="1034">
        <f>SUM(K76:K176)</f>
        <v>0</v>
      </c>
      <c r="L177" s="1038"/>
      <c r="M177" s="1034">
        <f>SUM(M76:M176)</f>
        <v>0</v>
      </c>
      <c r="N177" s="1034">
        <f>SUM(N76:N176)</f>
        <v>0</v>
      </c>
      <c r="O177" s="1034">
        <f>SUM(O76:O176)</f>
        <v>0</v>
      </c>
      <c r="P177" s="1038"/>
      <c r="Q177" s="1034">
        <f>SUM(Q76:Q176)</f>
        <v>0</v>
      </c>
      <c r="R177" s="1034">
        <f>SUM(R76:R176)</f>
        <v>0</v>
      </c>
      <c r="S177" s="1034">
        <f>SUM(S76:S176)</f>
        <v>0</v>
      </c>
    </row>
    <row r="178" spans="1:19" ht="13.5" thickTop="1">
      <c r="A178" s="1042"/>
      <c r="B178" s="1021"/>
      <c r="C178" s="1035"/>
      <c r="D178" s="1035"/>
      <c r="E178" s="1035"/>
      <c r="F178" s="1035"/>
      <c r="G178" s="1035"/>
      <c r="H178" s="1031"/>
      <c r="I178" s="1035"/>
      <c r="J178" s="1035"/>
      <c r="K178" s="1035"/>
      <c r="L178" s="1031"/>
      <c r="M178" s="1035"/>
      <c r="N178" s="1035"/>
      <c r="O178" s="1035"/>
      <c r="P178" s="1031"/>
      <c r="Q178" s="1035"/>
      <c r="R178" s="1035"/>
      <c r="S178" s="1035"/>
    </row>
    <row r="179" spans="1:19">
      <c r="A179" s="1042"/>
      <c r="B179" s="1021"/>
      <c r="C179" s="1031"/>
      <c r="D179" s="1031"/>
      <c r="E179" s="1031"/>
      <c r="F179" s="1031"/>
      <c r="G179" s="1031"/>
      <c r="H179" s="1031"/>
      <c r="I179" s="1031"/>
      <c r="J179" s="1031"/>
      <c r="K179" s="1031"/>
      <c r="L179" s="1031"/>
      <c r="M179" s="1031"/>
      <c r="N179" s="1031"/>
      <c r="O179" s="1031"/>
      <c r="P179" s="1031"/>
      <c r="Q179" s="1031"/>
      <c r="R179" s="1031"/>
      <c r="S179" s="1031"/>
    </row>
    <row r="180" spans="1:19">
      <c r="A180" s="1042">
        <f>+A177+1</f>
        <v>11</v>
      </c>
      <c r="B180" s="264" t="s">
        <v>721</v>
      </c>
      <c r="C180" s="1031">
        <f>SUM(M180:O180)</f>
        <v>0</v>
      </c>
      <c r="D180" s="1031">
        <f>SUM(Q180:S180)</f>
        <v>0</v>
      </c>
      <c r="E180" s="1031"/>
      <c r="F180" s="1031"/>
      <c r="G180" s="1031">
        <f>ROUND(SUM(C180:F180)/2,0)</f>
        <v>0</v>
      </c>
      <c r="H180" s="1031"/>
      <c r="I180" s="1031">
        <f>(M180+Q180)/2</f>
        <v>0</v>
      </c>
      <c r="J180" s="1031">
        <f>(N180+R180)/2</f>
        <v>0</v>
      </c>
      <c r="K180" s="1031">
        <f>(O180+S180)/2</f>
        <v>0</v>
      </c>
      <c r="L180" s="1031"/>
      <c r="M180" s="839"/>
      <c r="N180" s="839"/>
      <c r="O180" s="839"/>
      <c r="P180" s="1031"/>
      <c r="Q180" s="839"/>
      <c r="R180" s="839"/>
      <c r="S180" s="839"/>
    </row>
    <row r="181" spans="1:19">
      <c r="A181" s="1062">
        <f>A180+0.01</f>
        <v>11.01</v>
      </c>
      <c r="B181" s="839"/>
      <c r="C181" s="839"/>
      <c r="D181" s="839"/>
      <c r="E181" s="1031">
        <f>-C181</f>
        <v>0</v>
      </c>
      <c r="F181" s="1031">
        <f>-D181</f>
        <v>0</v>
      </c>
      <c r="G181" s="1031">
        <f>ROUND(SUM(C181:F181)/2,0)</f>
        <v>0</v>
      </c>
      <c r="H181" s="1031"/>
      <c r="I181" s="1031"/>
      <c r="J181" s="1031"/>
      <c r="K181" s="1031"/>
      <c r="L181" s="1031"/>
      <c r="M181" s="1031"/>
      <c r="N181" s="1031"/>
      <c r="O181" s="1031"/>
      <c r="P181" s="1031"/>
      <c r="Q181" s="1031"/>
      <c r="R181" s="1031"/>
      <c r="S181" s="1031"/>
    </row>
    <row r="182" spans="1:19">
      <c r="A182" s="1042"/>
      <c r="B182" s="1021"/>
      <c r="C182" s="1031"/>
      <c r="D182" s="1031"/>
      <c r="E182" s="1031"/>
      <c r="F182" s="1031"/>
      <c r="G182" s="1031"/>
      <c r="H182" s="1031"/>
      <c r="I182" s="1031"/>
      <c r="J182" s="1031"/>
      <c r="K182" s="1031"/>
      <c r="L182" s="1031"/>
      <c r="M182" s="1031"/>
      <c r="N182" s="1031"/>
      <c r="O182" s="1031"/>
      <c r="P182" s="1031"/>
      <c r="Q182" s="1031"/>
      <c r="R182" s="1031"/>
      <c r="S182" s="1031"/>
    </row>
    <row r="183" spans="1:19" ht="13.5" thickBot="1">
      <c r="A183" s="1042">
        <f>+A180+1</f>
        <v>12</v>
      </c>
      <c r="B183" s="941" t="s">
        <v>722</v>
      </c>
      <c r="C183" s="1034">
        <f>SUM(C177:C182)</f>
        <v>0</v>
      </c>
      <c r="D183" s="1034">
        <f>SUM(D177:D182)</f>
        <v>0</v>
      </c>
      <c r="E183" s="1034">
        <f>SUM(E177:E182)</f>
        <v>0</v>
      </c>
      <c r="F183" s="1034">
        <f>SUM(F177:F182)</f>
        <v>0</v>
      </c>
      <c r="G183" s="1034">
        <f>SUM(G177:G182)</f>
        <v>0</v>
      </c>
      <c r="H183" s="1031"/>
      <c r="I183" s="1034">
        <f>SUM(I177:I182)</f>
        <v>0</v>
      </c>
      <c r="J183" s="1034">
        <f>SUM(J177:J182)</f>
        <v>0</v>
      </c>
      <c r="K183" s="1034">
        <f>SUM(K177:K182)</f>
        <v>0</v>
      </c>
      <c r="L183" s="1031"/>
      <c r="M183" s="1039">
        <f>SUM(M177:M182)</f>
        <v>0</v>
      </c>
      <c r="N183" s="1039">
        <f>SUM(N177:N182)</f>
        <v>0</v>
      </c>
      <c r="O183" s="1039">
        <f>SUM(O177:O182)</f>
        <v>0</v>
      </c>
      <c r="P183" s="1031"/>
      <c r="Q183" s="1034">
        <f>SUM(Q177:Q182)</f>
        <v>0</v>
      </c>
      <c r="R183" s="1034">
        <f>SUM(R177:R182)</f>
        <v>0</v>
      </c>
      <c r="S183" s="1034">
        <f>SUM(S177:S182)</f>
        <v>0</v>
      </c>
    </row>
    <row r="184" spans="1:19" ht="13.5" thickTop="1">
      <c r="A184" s="1042">
        <f>A183+1</f>
        <v>13</v>
      </c>
      <c r="B184" s="1109" t="s">
        <v>733</v>
      </c>
      <c r="C184" s="1035">
        <f>C106+C139</f>
        <v>0</v>
      </c>
      <c r="D184" s="1035">
        <f>D106+D139</f>
        <v>0</v>
      </c>
      <c r="E184" s="1035">
        <f>E106+E139</f>
        <v>0</v>
      </c>
      <c r="F184" s="1035">
        <f>F106+F139</f>
        <v>0</v>
      </c>
      <c r="G184" s="1035">
        <f>G106+G139</f>
        <v>0</v>
      </c>
      <c r="H184" s="1031"/>
      <c r="I184" s="1035">
        <f>I106+I139</f>
        <v>0</v>
      </c>
      <c r="J184" s="1035">
        <f>J106+J139</f>
        <v>0</v>
      </c>
      <c r="K184" s="1035">
        <f>K106+K139</f>
        <v>0</v>
      </c>
      <c r="L184" s="1031"/>
      <c r="M184" s="1035">
        <f>M106+M139</f>
        <v>0</v>
      </c>
      <c r="N184" s="1035">
        <f>N106+N139</f>
        <v>0</v>
      </c>
      <c r="O184" s="1035">
        <f>O106+O139</f>
        <v>0</v>
      </c>
      <c r="P184" s="1031"/>
      <c r="Q184" s="1035">
        <f>Q106+Q139</f>
        <v>0</v>
      </c>
      <c r="R184" s="1035">
        <f>R106+R139</f>
        <v>0</v>
      </c>
      <c r="S184" s="1035">
        <f>S106+S139</f>
        <v>0</v>
      </c>
    </row>
    <row r="185" spans="1:19">
      <c r="A185" s="1042"/>
      <c r="B185" s="1021"/>
      <c r="C185" s="1037"/>
      <c r="D185" s="1037"/>
      <c r="E185" s="1031"/>
      <c r="F185" s="1031"/>
      <c r="G185" s="1031"/>
      <c r="H185" s="1031"/>
      <c r="I185" s="1031"/>
      <c r="J185" s="1031"/>
      <c r="K185" s="1031"/>
      <c r="L185" s="1031"/>
      <c r="M185" s="1031"/>
      <c r="N185" s="1031"/>
      <c r="O185" s="1031"/>
      <c r="P185" s="1031"/>
      <c r="Q185" s="1031"/>
      <c r="R185" s="1031"/>
      <c r="S185" s="1031"/>
    </row>
    <row r="186" spans="1:19">
      <c r="A186" s="1042">
        <f>+A184+1</f>
        <v>14</v>
      </c>
      <c r="B186" s="1022" t="s">
        <v>723</v>
      </c>
      <c r="C186" s="1031"/>
      <c r="D186" s="1031"/>
      <c r="E186" s="1031"/>
      <c r="F186" s="1031"/>
      <c r="G186" s="1031"/>
      <c r="H186" s="1031"/>
      <c r="I186" s="1031"/>
      <c r="J186" s="1031"/>
      <c r="K186" s="1031"/>
      <c r="L186" s="1031"/>
      <c r="M186" s="1031"/>
      <c r="N186" s="1031"/>
      <c r="O186" s="1031"/>
      <c r="P186" s="1031"/>
      <c r="Q186" s="1031"/>
      <c r="R186" s="1031"/>
      <c r="S186" s="1031"/>
    </row>
    <row r="187" spans="1:19">
      <c r="A187" s="1042"/>
      <c r="B187" s="1021"/>
      <c r="C187" s="1031"/>
      <c r="D187" s="1031"/>
      <c r="E187" s="1031"/>
      <c r="F187" s="1031"/>
      <c r="G187" s="1031"/>
      <c r="H187" s="1031"/>
      <c r="I187" s="1031"/>
      <c r="J187" s="1031"/>
      <c r="K187" s="1031"/>
      <c r="L187" s="1031"/>
      <c r="M187" s="1031"/>
      <c r="N187" s="1031"/>
      <c r="O187" s="1031"/>
      <c r="P187" s="1031"/>
      <c r="Q187" s="1031"/>
      <c r="R187" s="1031"/>
      <c r="S187" s="1031"/>
    </row>
    <row r="188" spans="1:19">
      <c r="A188" s="1042">
        <f>+A186+1</f>
        <v>15</v>
      </c>
      <c r="B188" s="1022" t="s">
        <v>724</v>
      </c>
      <c r="C188" s="1031"/>
      <c r="D188" s="1031"/>
      <c r="E188" s="1031"/>
      <c r="F188" s="1031"/>
      <c r="G188" s="1031"/>
      <c r="H188" s="1031"/>
      <c r="I188" s="1031"/>
      <c r="J188" s="1031"/>
      <c r="K188" s="1031"/>
      <c r="L188" s="1031"/>
      <c r="M188" s="1031"/>
      <c r="N188" s="1031"/>
      <c r="O188" s="1031"/>
      <c r="P188" s="1031"/>
      <c r="Q188" s="1031"/>
      <c r="R188" s="1031"/>
      <c r="S188" s="1031"/>
    </row>
    <row r="189" spans="1:19">
      <c r="A189" s="1042"/>
      <c r="B189" s="1021"/>
      <c r="C189" s="1031"/>
      <c r="D189" s="1040"/>
      <c r="E189" s="1040"/>
      <c r="F189" s="1040"/>
      <c r="G189" s="1040"/>
      <c r="H189" s="1040"/>
      <c r="I189" s="1040"/>
      <c r="J189" s="1040"/>
      <c r="K189" s="1040"/>
      <c r="L189" s="1040"/>
      <c r="M189" s="1031"/>
      <c r="N189" s="1031"/>
      <c r="O189" s="1031"/>
      <c r="P189" s="1031"/>
      <c r="Q189" s="1031"/>
      <c r="R189" s="1031"/>
      <c r="S189" s="1031"/>
    </row>
    <row r="190" spans="1:19">
      <c r="A190" s="1042">
        <f>+A188+1</f>
        <v>16</v>
      </c>
      <c r="B190" s="1022" t="s">
        <v>725</v>
      </c>
      <c r="C190" s="1031"/>
      <c r="D190" s="1040"/>
      <c r="E190" s="1040"/>
      <c r="F190" s="1040"/>
      <c r="G190" s="1040"/>
      <c r="H190" s="1040"/>
      <c r="I190" s="1040"/>
      <c r="J190" s="1040"/>
      <c r="K190" s="1040"/>
      <c r="L190" s="1040"/>
      <c r="M190" s="1031"/>
      <c r="N190" s="1031"/>
      <c r="O190" s="1031"/>
      <c r="P190" s="1031"/>
      <c r="Q190" s="1031"/>
      <c r="R190" s="1031"/>
      <c r="S190" s="1031"/>
    </row>
    <row r="191" spans="1:19">
      <c r="A191" s="1042"/>
      <c r="B191" s="1021"/>
      <c r="C191" s="1031"/>
      <c r="D191" s="1031"/>
      <c r="E191" s="1031"/>
      <c r="F191" s="1031"/>
      <c r="G191" s="1031"/>
      <c r="H191" s="1031"/>
      <c r="I191" s="1031"/>
      <c r="J191" s="1031"/>
      <c r="K191" s="1031"/>
      <c r="L191" s="1031"/>
      <c r="M191" s="1031"/>
      <c r="N191" s="1031"/>
      <c r="O191" s="1031"/>
      <c r="P191" s="1031"/>
      <c r="Q191" s="1031"/>
      <c r="R191" s="1031"/>
      <c r="S191" s="1031"/>
    </row>
    <row r="192" spans="1:19">
      <c r="A192" s="1042">
        <f>+A190+1</f>
        <v>17</v>
      </c>
      <c r="B192" s="264" t="s">
        <v>726</v>
      </c>
      <c r="C192" s="1031"/>
      <c r="D192" s="1031"/>
      <c r="E192" s="1031"/>
      <c r="F192" s="1031"/>
      <c r="G192" s="1031"/>
      <c r="H192" s="1031"/>
      <c r="I192" s="1031"/>
      <c r="J192" s="1031"/>
      <c r="K192" s="1031"/>
      <c r="L192" s="1031"/>
      <c r="M192" s="1031"/>
      <c r="N192" s="1031"/>
      <c r="O192" s="1031"/>
      <c r="P192" s="1031"/>
      <c r="Q192" s="1031"/>
      <c r="R192" s="1031"/>
      <c r="S192" s="1031"/>
    </row>
    <row r="193" spans="1:19">
      <c r="A193" s="1042">
        <f>A192+1</f>
        <v>18</v>
      </c>
      <c r="B193" s="264" t="s">
        <v>727</v>
      </c>
      <c r="C193" s="1031"/>
      <c r="D193" s="1031"/>
      <c r="E193" s="1031"/>
      <c r="F193" s="1031"/>
      <c r="G193" s="1031"/>
      <c r="H193" s="1031"/>
      <c r="I193" s="1031"/>
      <c r="J193" s="1031"/>
      <c r="K193" s="1031"/>
      <c r="L193" s="1031"/>
      <c r="M193" s="1031"/>
      <c r="N193" s="1031"/>
      <c r="O193" s="1031"/>
      <c r="P193" s="1031"/>
      <c r="Q193" s="839"/>
      <c r="R193" s="1031"/>
      <c r="S193" s="1031"/>
    </row>
    <row r="194" spans="1:19">
      <c r="A194" s="1062">
        <f>A193+0.01</f>
        <v>18.010000000000002</v>
      </c>
      <c r="B194" s="839"/>
      <c r="C194" s="1031">
        <f>SUM(M194:O194)</f>
        <v>0</v>
      </c>
      <c r="D194" s="1031">
        <f>SUM(Q194:S194)</f>
        <v>0</v>
      </c>
      <c r="E194" s="1031"/>
      <c r="F194" s="1031"/>
      <c r="G194" s="1031">
        <f>ROUND(SUM(C194:F194)/2,0)</f>
        <v>0</v>
      </c>
      <c r="H194" s="1031"/>
      <c r="I194" s="1031">
        <f t="shared" ref="I194:K195" si="24">(M194+Q194)/2</f>
        <v>0</v>
      </c>
      <c r="J194" s="1031">
        <f t="shared" si="24"/>
        <v>0</v>
      </c>
      <c r="K194" s="1031">
        <f t="shared" si="24"/>
        <v>0</v>
      </c>
      <c r="L194" s="1031"/>
      <c r="M194" s="839"/>
      <c r="N194" s="839"/>
      <c r="O194" s="839"/>
      <c r="P194" s="1031"/>
      <c r="Q194" s="839"/>
      <c r="R194" s="839"/>
      <c r="S194" s="839"/>
    </row>
    <row r="195" spans="1:19">
      <c r="A195" s="1062">
        <f>A194+0.01</f>
        <v>18.020000000000003</v>
      </c>
      <c r="B195" s="839"/>
      <c r="C195" s="1031">
        <f>SUM(M195:O195)</f>
        <v>0</v>
      </c>
      <c r="D195" s="1031">
        <f>SUM(Q195:S195)</f>
        <v>0</v>
      </c>
      <c r="E195" s="1031"/>
      <c r="F195" s="1031"/>
      <c r="G195" s="1031">
        <f>ROUND(SUM(C195:F195)/2,0)</f>
        <v>0</v>
      </c>
      <c r="H195" s="1031"/>
      <c r="I195" s="1031">
        <f t="shared" si="24"/>
        <v>0</v>
      </c>
      <c r="J195" s="1031">
        <f t="shared" si="24"/>
        <v>0</v>
      </c>
      <c r="K195" s="1031">
        <f t="shared" si="24"/>
        <v>0</v>
      </c>
      <c r="L195" s="1031"/>
      <c r="M195" s="839"/>
      <c r="N195" s="839"/>
      <c r="O195" s="839"/>
      <c r="P195" s="1031"/>
      <c r="Q195" s="839"/>
      <c r="R195" s="839"/>
      <c r="S195" s="839"/>
    </row>
    <row r="196" spans="1:19">
      <c r="A196" s="1042">
        <f>INT(A195)+1</f>
        <v>19</v>
      </c>
      <c r="B196" s="1022"/>
      <c r="C196" s="1031"/>
      <c r="D196" s="1031"/>
      <c r="E196" s="1031"/>
      <c r="F196" s="1031"/>
      <c r="G196" s="1031"/>
      <c r="H196" s="1031"/>
      <c r="I196" s="1031"/>
      <c r="J196" s="1031"/>
      <c r="K196" s="1031"/>
      <c r="L196" s="1031"/>
      <c r="M196" s="1031"/>
      <c r="N196" s="1031"/>
      <c r="O196" s="1031"/>
      <c r="P196" s="1031"/>
      <c r="Q196" s="1031"/>
      <c r="R196" s="1031"/>
      <c r="S196" s="1031"/>
    </row>
    <row r="197" spans="1:19">
      <c r="A197" s="1042">
        <f>A196+1</f>
        <v>20</v>
      </c>
      <c r="B197" s="264" t="s">
        <v>728</v>
      </c>
      <c r="C197" s="1034">
        <f>SUM(C194:C196)</f>
        <v>0</v>
      </c>
      <c r="D197" s="1034">
        <f>SUM(D194:D196)</f>
        <v>0</v>
      </c>
      <c r="E197" s="1034">
        <f>SUM(E194:E196)</f>
        <v>0</v>
      </c>
      <c r="F197" s="1034">
        <f>SUM(F194:F196)</f>
        <v>0</v>
      </c>
      <c r="G197" s="1034">
        <f>SUM(G194:G196)</f>
        <v>0</v>
      </c>
      <c r="H197" s="1031"/>
      <c r="I197" s="1034">
        <f>SUM(I194:I196)</f>
        <v>0</v>
      </c>
      <c r="J197" s="1034">
        <f>SUM(J194:J196)</f>
        <v>0</v>
      </c>
      <c r="K197" s="1034">
        <f>SUM(K194:K196)</f>
        <v>0</v>
      </c>
      <c r="L197" s="1031"/>
      <c r="M197" s="1034">
        <f>SUM(M194:M196)</f>
        <v>0</v>
      </c>
      <c r="N197" s="1034">
        <f>SUM(N194:N196)</f>
        <v>0</v>
      </c>
      <c r="O197" s="1034">
        <f>SUM(O194:O196)</f>
        <v>0</v>
      </c>
      <c r="P197" s="1031"/>
      <c r="Q197" s="1034">
        <f>SUM(Q194:Q196)</f>
        <v>0</v>
      </c>
      <c r="R197" s="1034">
        <f>SUM(R194:R196)</f>
        <v>0</v>
      </c>
      <c r="S197" s="1034">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11"/>
  <sheetViews>
    <sheetView view="pageBreakPreview" zoomScale="60" zoomScaleNormal="100" workbookViewId="0">
      <selection activeCell="A18" sqref="A18"/>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28515625" bestFit="1" customWidth="1"/>
    <col min="8" max="8" width="3" customWidth="1"/>
    <col min="9" max="9" width="13.140625" bestFit="1" customWidth="1"/>
    <col min="10" max="10" width="15" bestFit="1" customWidth="1"/>
    <col min="11" max="11" width="13.5703125" bestFit="1" customWidth="1"/>
    <col min="12" max="12" width="3.42578125" customWidth="1"/>
    <col min="13" max="13" width="13.140625" bestFit="1" customWidth="1"/>
    <col min="14" max="14" width="15" bestFit="1" customWidth="1"/>
    <col min="15" max="15" width="13.5703125" bestFit="1" customWidth="1"/>
    <col min="16" max="16" width="3.42578125" customWidth="1"/>
    <col min="17" max="17" width="13.140625" bestFit="1" customWidth="1"/>
    <col min="18" max="18" width="15" bestFit="1" customWidth="1"/>
    <col min="19" max="19" width="13.5703125" bestFit="1" customWidth="1"/>
  </cols>
  <sheetData>
    <row r="1" spans="1:19">
      <c r="A1" s="1043"/>
      <c r="B1" s="1108" t="str">
        <f>TCOS!F9</f>
        <v xml:space="preserve">Indiana Michigan Power Company </v>
      </c>
      <c r="C1" s="1044"/>
      <c r="D1" s="1044"/>
      <c r="E1" s="1044"/>
      <c r="F1" s="1021"/>
      <c r="G1" s="264"/>
      <c r="H1" s="264"/>
      <c r="I1" s="264"/>
      <c r="J1" s="264"/>
      <c r="K1" s="264"/>
      <c r="L1" s="264"/>
      <c r="M1" s="1021"/>
      <c r="N1" s="1021"/>
      <c r="O1" s="264"/>
      <c r="P1" s="1021"/>
      <c r="Q1" s="1021"/>
      <c r="R1" s="1021"/>
      <c r="S1" s="264"/>
    </row>
    <row r="2" spans="1:19">
      <c r="A2" s="1043"/>
      <c r="B2" s="1020" t="s">
        <v>811</v>
      </c>
      <c r="C2" s="1044"/>
      <c r="D2" s="1044"/>
      <c r="E2" s="1044"/>
      <c r="F2" s="1044"/>
      <c r="G2" s="1045"/>
      <c r="H2" s="1045"/>
      <c r="I2" s="1045"/>
      <c r="J2" s="1045"/>
      <c r="K2" s="1045"/>
      <c r="L2" s="1045"/>
      <c r="M2" s="1021"/>
      <c r="N2" s="1021"/>
      <c r="O2" s="1045"/>
      <c r="P2" s="1021"/>
      <c r="Q2" s="1021"/>
      <c r="R2" s="1021"/>
      <c r="S2" s="1045"/>
    </row>
    <row r="3" spans="1:19">
      <c r="A3" s="1043"/>
      <c r="B3" s="1020" t="str">
        <f>"PERIOD ENDED DECEMBER 31, "&amp;TCOS!L4</f>
        <v>PERIOD ENDED DECEMBER 31, 2025</v>
      </c>
      <c r="C3" s="1044"/>
      <c r="D3" s="1044"/>
      <c r="E3" s="1044"/>
      <c r="F3" s="1044"/>
      <c r="G3" s="1044"/>
      <c r="H3" s="1044"/>
      <c r="I3" s="1044"/>
      <c r="J3" s="1044"/>
      <c r="K3" s="1044"/>
      <c r="L3" s="1044"/>
      <c r="M3" s="1021"/>
      <c r="N3" s="1021"/>
      <c r="O3" s="1021"/>
      <c r="P3" s="1021"/>
      <c r="Q3" s="1021"/>
      <c r="R3" s="1021"/>
      <c r="S3" s="1021"/>
    </row>
    <row r="4" spans="1:19">
      <c r="A4" s="1043"/>
      <c r="B4" s="1030"/>
      <c r="C4" s="1044"/>
      <c r="D4" s="1044"/>
      <c r="E4" s="1044"/>
      <c r="F4" s="1044"/>
      <c r="G4" s="1" t="s">
        <v>729</v>
      </c>
      <c r="H4" s="1044"/>
      <c r="I4" s="1044"/>
      <c r="J4" s="1044"/>
      <c r="K4" s="1044"/>
      <c r="L4" s="1044"/>
      <c r="M4" s="1021"/>
      <c r="N4" s="1021"/>
      <c r="O4" s="1021"/>
      <c r="P4" s="1021"/>
      <c r="Q4" s="1021"/>
      <c r="R4" s="1021"/>
      <c r="S4" s="1021"/>
    </row>
    <row r="5" spans="1:19">
      <c r="A5" s="1043"/>
      <c r="B5" s="1023"/>
      <c r="C5" s="1044"/>
      <c r="D5" s="1044"/>
      <c r="E5" s="1044"/>
      <c r="F5" s="1044"/>
      <c r="G5" s="1044"/>
      <c r="H5" s="1044"/>
      <c r="I5" s="1044"/>
      <c r="J5" s="1044"/>
      <c r="K5" s="1044"/>
      <c r="L5" s="1044"/>
      <c r="M5" s="1021"/>
      <c r="N5" s="1021"/>
      <c r="O5" s="1021"/>
      <c r="P5" s="1021"/>
      <c r="Q5" s="1021"/>
      <c r="R5" s="1021"/>
      <c r="S5" s="1021"/>
    </row>
    <row r="6" spans="1:19">
      <c r="A6" s="1043"/>
      <c r="B6" s="1021"/>
      <c r="C6" s="1044"/>
      <c r="D6" s="1044"/>
      <c r="E6" s="1044"/>
      <c r="F6" s="1044"/>
      <c r="G6" s="1044"/>
      <c r="H6" s="1"/>
      <c r="I6" s="1"/>
      <c r="J6" s="1"/>
      <c r="K6" s="1"/>
      <c r="L6" s="1"/>
      <c r="M6" s="1021"/>
      <c r="N6" s="1021"/>
      <c r="O6" s="1021"/>
      <c r="P6" s="1021"/>
      <c r="Q6" s="1021"/>
      <c r="R6" s="1021"/>
      <c r="S6" s="1021"/>
    </row>
    <row r="7" spans="1:19">
      <c r="A7" s="1043"/>
      <c r="B7" s="1021"/>
      <c r="C7" s="1044"/>
      <c r="D7" s="1044"/>
      <c r="E7" s="1044"/>
      <c r="F7" s="1044"/>
      <c r="G7" s="1044"/>
      <c r="H7" s="1044"/>
      <c r="I7" s="1044"/>
      <c r="J7" s="1044"/>
      <c r="K7" s="1044"/>
      <c r="L7" s="1044"/>
      <c r="M7" s="1021"/>
      <c r="N7" s="1021"/>
      <c r="O7" s="1021"/>
      <c r="P7" s="1021"/>
      <c r="Q7" s="1021"/>
      <c r="R7" s="1021"/>
      <c r="S7" s="1021"/>
    </row>
    <row r="8" spans="1:19">
      <c r="A8" s="1043"/>
      <c r="B8" s="1024" t="s">
        <v>689</v>
      </c>
      <c r="C8" s="1046" t="s">
        <v>690</v>
      </c>
      <c r="D8" s="1046" t="s">
        <v>691</v>
      </c>
      <c r="E8" s="1046" t="s">
        <v>692</v>
      </c>
      <c r="F8" s="1046" t="s">
        <v>693</v>
      </c>
      <c r="G8" s="1046" t="s">
        <v>694</v>
      </c>
      <c r="H8" s="1046"/>
      <c r="I8" s="1046" t="s">
        <v>695</v>
      </c>
      <c r="J8" s="1046" t="s">
        <v>696</v>
      </c>
      <c r="K8" s="1046" t="s">
        <v>697</v>
      </c>
      <c r="L8" s="1046"/>
      <c r="M8" s="1024" t="s">
        <v>698</v>
      </c>
      <c r="N8" s="1024" t="s">
        <v>699</v>
      </c>
      <c r="O8" s="1024" t="s">
        <v>700</v>
      </c>
      <c r="P8" s="1021"/>
      <c r="Q8" s="1024" t="s">
        <v>701</v>
      </c>
      <c r="R8" s="1024" t="s">
        <v>702</v>
      </c>
      <c r="S8" s="1024" t="s">
        <v>703</v>
      </c>
    </row>
    <row r="9" spans="1:19">
      <c r="A9" s="1043"/>
      <c r="B9" s="1021"/>
      <c r="C9" s="1044"/>
      <c r="D9" s="1044"/>
      <c r="E9" s="1044"/>
      <c r="F9" s="1044"/>
      <c r="G9" s="1044"/>
      <c r="H9" s="1044"/>
      <c r="I9" s="1044"/>
      <c r="J9" s="1044"/>
      <c r="K9" s="1044"/>
      <c r="L9" s="1044"/>
      <c r="M9" s="1021"/>
      <c r="N9" s="1021"/>
      <c r="O9" s="1021"/>
      <c r="P9" s="1021"/>
      <c r="Q9" s="1021"/>
      <c r="R9" s="1021"/>
      <c r="S9" s="1021"/>
    </row>
    <row r="10" spans="1:19">
      <c r="A10" s="1043"/>
      <c r="B10" s="1021"/>
      <c r="C10" s="1047" t="s">
        <v>704</v>
      </c>
      <c r="D10" s="1047"/>
      <c r="E10" s="1048" t="s">
        <v>705</v>
      </c>
      <c r="F10" s="1047"/>
      <c r="G10" s="1049" t="s">
        <v>706</v>
      </c>
      <c r="H10" s="1049"/>
      <c r="I10" s="1050" t="s">
        <v>707</v>
      </c>
      <c r="J10" s="1047"/>
      <c r="K10" s="1047"/>
      <c r="L10" s="1049"/>
      <c r="M10" s="1028" t="str">
        <f>"FUNCTIONALIZATION 12/31/"&amp;TCOS!L4-1</f>
        <v>FUNCTIONALIZATION 12/31/2024</v>
      </c>
      <c r="N10" s="1025"/>
      <c r="O10" s="1025"/>
      <c r="P10" s="1021"/>
      <c r="Q10" s="1028" t="str">
        <f>"FUNCTIONALIZATION 12/31/"&amp;TCOS!L4</f>
        <v>FUNCTIONALIZATION 12/31/2025</v>
      </c>
      <c r="R10" s="1025"/>
      <c r="S10" s="1025"/>
    </row>
    <row r="11" spans="1:19">
      <c r="A11" s="1043"/>
      <c r="B11" s="1021"/>
      <c r="C11" s="1051"/>
      <c r="D11" s="1051"/>
      <c r="E11" s="1044"/>
      <c r="F11" s="1044"/>
      <c r="G11" s="1049" t="s">
        <v>708</v>
      </c>
      <c r="H11" s="1049"/>
      <c r="I11" s="1051"/>
      <c r="J11" s="1051"/>
      <c r="K11" s="1051"/>
      <c r="L11" s="1049"/>
      <c r="M11" s="1029"/>
      <c r="N11" s="1029"/>
      <c r="O11" s="1029"/>
      <c r="P11" s="1021"/>
      <c r="Q11" s="1029"/>
      <c r="R11" s="1029"/>
      <c r="S11" s="1029"/>
    </row>
    <row r="12" spans="1:19">
      <c r="A12" s="1043"/>
      <c r="B12" s="1021"/>
      <c r="C12" s="1049" t="s">
        <v>709</v>
      </c>
      <c r="D12" s="1049" t="s">
        <v>709</v>
      </c>
      <c r="E12" s="1049" t="s">
        <v>709</v>
      </c>
      <c r="F12" s="1049" t="s">
        <v>709</v>
      </c>
      <c r="G12" s="1049" t="s">
        <v>710</v>
      </c>
      <c r="H12" s="1049"/>
      <c r="I12" s="1044"/>
      <c r="J12" s="1044"/>
      <c r="K12" s="1044"/>
      <c r="L12" s="1049"/>
      <c r="M12" s="1021"/>
      <c r="N12" s="1021"/>
      <c r="O12" s="1021"/>
      <c r="P12" s="1021"/>
      <c r="Q12" s="1021"/>
      <c r="R12" s="1021"/>
      <c r="S12" s="1021"/>
    </row>
    <row r="13" spans="1:19">
      <c r="A13" s="1043"/>
      <c r="B13" s="1024" t="s">
        <v>711</v>
      </c>
      <c r="C13" s="1046" t="str">
        <f>"OF 12-31-"&amp;TCOS!L4-1</f>
        <v>OF 12-31-2024</v>
      </c>
      <c r="D13" s="1046" t="str">
        <f>"OF 12-31-"&amp;TCOS!L4</f>
        <v>OF 12-31-2025</v>
      </c>
      <c r="E13" s="1046" t="str">
        <f>"OF 12-31-"&amp;TCOS!L4-1</f>
        <v>OF 12-31-2024</v>
      </c>
      <c r="F13" s="1046" t="str">
        <f>"OF 12-31-"&amp;TCOS!L4</f>
        <v>OF 12-31-2025</v>
      </c>
      <c r="G13" s="1046" t="s">
        <v>712</v>
      </c>
      <c r="H13" s="1046"/>
      <c r="I13" s="1046" t="s">
        <v>713</v>
      </c>
      <c r="J13" s="1046" t="s">
        <v>714</v>
      </c>
      <c r="K13" s="1046" t="s">
        <v>715</v>
      </c>
      <c r="L13" s="1046"/>
      <c r="M13" s="1024" t="s">
        <v>713</v>
      </c>
      <c r="N13" s="1024" t="s">
        <v>714</v>
      </c>
      <c r="O13" s="1024" t="s">
        <v>715</v>
      </c>
      <c r="P13" s="1021"/>
      <c r="Q13" s="1024" t="s">
        <v>713</v>
      </c>
      <c r="R13" s="1024" t="s">
        <v>714</v>
      </c>
      <c r="S13" s="1024" t="s">
        <v>715</v>
      </c>
    </row>
    <row r="14" spans="1:19">
      <c r="A14" s="1043"/>
      <c r="B14" s="1021"/>
      <c r="C14" s="1044"/>
      <c r="D14" s="1044"/>
      <c r="E14" s="1044"/>
      <c r="F14" s="1044"/>
      <c r="G14" s="1044"/>
      <c r="H14" s="1044"/>
      <c r="I14" s="1044"/>
      <c r="J14" s="1044"/>
      <c r="K14" s="1044"/>
      <c r="L14" s="1044"/>
      <c r="M14" s="1021"/>
      <c r="N14" s="1021"/>
      <c r="O14" s="1021"/>
      <c r="P14" s="1021"/>
      <c r="Q14" s="1021"/>
      <c r="R14" s="1021"/>
      <c r="S14" s="1021"/>
    </row>
    <row r="15" spans="1:19">
      <c r="A15" s="1052">
        <v>1</v>
      </c>
      <c r="B15" s="1037" t="s">
        <v>730</v>
      </c>
      <c r="C15" s="1031"/>
      <c r="D15" s="1031"/>
      <c r="E15" s="1031"/>
      <c r="F15" s="1032"/>
      <c r="G15" s="1031"/>
      <c r="H15" s="1031"/>
      <c r="I15" s="1031"/>
      <c r="J15" s="1031"/>
      <c r="K15" s="1031"/>
      <c r="L15" s="1031"/>
      <c r="M15" s="1031"/>
      <c r="N15" s="1031"/>
      <c r="O15" s="1031"/>
      <c r="P15" s="1031"/>
      <c r="Q15" s="1031"/>
      <c r="R15" s="1031"/>
      <c r="S15" s="1031"/>
    </row>
    <row r="16" spans="1:19">
      <c r="A16" s="1052"/>
      <c r="B16" s="1031"/>
      <c r="C16" s="1031"/>
      <c r="D16" s="1031"/>
      <c r="E16" s="1031"/>
      <c r="F16" s="1031"/>
      <c r="G16" s="1031"/>
      <c r="H16" s="1031"/>
      <c r="I16" s="1031"/>
      <c r="J16" s="1031"/>
      <c r="K16" s="1031"/>
      <c r="L16" s="1031"/>
      <c r="M16" s="1031"/>
      <c r="N16" s="1031"/>
      <c r="O16" s="1031"/>
      <c r="P16" s="1031"/>
      <c r="Q16" s="1031"/>
      <c r="R16" s="1031"/>
      <c r="S16" s="1031"/>
    </row>
    <row r="17" spans="1:19">
      <c r="A17" s="1062">
        <v>2.0099999999999998</v>
      </c>
      <c r="B17" s="839"/>
      <c r="C17" s="1031">
        <f t="shared" ref="C17:C80" si="0">SUM(M17:O17)</f>
        <v>0</v>
      </c>
      <c r="D17" s="1031">
        <f t="shared" ref="D17:D80" si="1">SUM(Q17:S17)</f>
        <v>0</v>
      </c>
      <c r="E17" s="1031"/>
      <c r="F17" s="1031"/>
      <c r="G17" s="1031">
        <f t="shared" ref="G17:G80" si="2">ROUND(SUM(C17:F17)/2,0)</f>
        <v>0</v>
      </c>
      <c r="H17" s="1031"/>
      <c r="I17" s="1031">
        <f t="shared" ref="I17:K48" si="3">(M17+Q17)/2</f>
        <v>0</v>
      </c>
      <c r="J17" s="1031">
        <f t="shared" si="3"/>
        <v>0</v>
      </c>
      <c r="K17" s="1031">
        <f t="shared" si="3"/>
        <v>0</v>
      </c>
      <c r="L17" s="1031"/>
      <c r="M17" s="839"/>
      <c r="N17" s="839"/>
      <c r="O17" s="839"/>
      <c r="P17" s="1031"/>
      <c r="Q17" s="839"/>
      <c r="R17" s="839"/>
      <c r="S17" s="839"/>
    </row>
    <row r="18" spans="1:19">
      <c r="A18" s="1062">
        <f>A17+0.01</f>
        <v>2.0199999999999996</v>
      </c>
      <c r="B18" s="839"/>
      <c r="C18" s="1031">
        <f t="shared" si="0"/>
        <v>0</v>
      </c>
      <c r="D18" s="1031">
        <f t="shared" si="1"/>
        <v>0</v>
      </c>
      <c r="E18" s="1031"/>
      <c r="F18" s="1031"/>
      <c r="G18" s="1031">
        <f t="shared" si="2"/>
        <v>0</v>
      </c>
      <c r="H18" s="1031"/>
      <c r="I18" s="1031">
        <f t="shared" si="3"/>
        <v>0</v>
      </c>
      <c r="J18" s="1031">
        <f t="shared" si="3"/>
        <v>0</v>
      </c>
      <c r="K18" s="1031">
        <f t="shared" si="3"/>
        <v>0</v>
      </c>
      <c r="L18" s="1031"/>
      <c r="M18" s="839"/>
      <c r="N18" s="839"/>
      <c r="O18" s="839"/>
      <c r="P18" s="1031"/>
      <c r="Q18" s="839"/>
      <c r="R18" s="839"/>
      <c r="S18" s="839"/>
    </row>
    <row r="19" spans="1:19">
      <c r="A19" s="1062">
        <f t="shared" ref="A19:A82" si="4">A18+0.01</f>
        <v>2.0299999999999994</v>
      </c>
      <c r="B19" s="839"/>
      <c r="C19" s="1031">
        <f t="shared" si="0"/>
        <v>0</v>
      </c>
      <c r="D19" s="1031">
        <f t="shared" si="1"/>
        <v>0</v>
      </c>
      <c r="E19" s="1031"/>
      <c r="F19" s="1031"/>
      <c r="G19" s="1031">
        <f t="shared" si="2"/>
        <v>0</v>
      </c>
      <c r="H19" s="1031"/>
      <c r="I19" s="1031">
        <f t="shared" si="3"/>
        <v>0</v>
      </c>
      <c r="J19" s="1031">
        <f t="shared" si="3"/>
        <v>0</v>
      </c>
      <c r="K19" s="1031">
        <f t="shared" si="3"/>
        <v>0</v>
      </c>
      <c r="L19" s="1031"/>
      <c r="M19" s="839"/>
      <c r="N19" s="839"/>
      <c r="O19" s="839"/>
      <c r="P19" s="1031"/>
      <c r="Q19" s="839"/>
      <c r="R19" s="839"/>
      <c r="S19" s="839"/>
    </row>
    <row r="20" spans="1:19">
      <c r="A20" s="1062">
        <f t="shared" si="4"/>
        <v>2.0399999999999991</v>
      </c>
      <c r="B20" s="839"/>
      <c r="C20" s="1031">
        <f t="shared" si="0"/>
        <v>0</v>
      </c>
      <c r="D20" s="1031">
        <f t="shared" si="1"/>
        <v>0</v>
      </c>
      <c r="E20" s="1031"/>
      <c r="F20" s="1031"/>
      <c r="G20" s="1031">
        <f t="shared" si="2"/>
        <v>0</v>
      </c>
      <c r="H20" s="1031"/>
      <c r="I20" s="1031">
        <f t="shared" si="3"/>
        <v>0</v>
      </c>
      <c r="J20" s="1031">
        <f t="shared" si="3"/>
        <v>0</v>
      </c>
      <c r="K20" s="1031">
        <f t="shared" si="3"/>
        <v>0</v>
      </c>
      <c r="L20" s="1031"/>
      <c r="M20" s="839"/>
      <c r="N20" s="839"/>
      <c r="O20" s="839"/>
      <c r="P20" s="1031"/>
      <c r="Q20" s="839"/>
      <c r="R20" s="839"/>
      <c r="S20" s="839"/>
    </row>
    <row r="21" spans="1:19">
      <c r="A21" s="1062">
        <f t="shared" si="4"/>
        <v>2.0499999999999989</v>
      </c>
      <c r="B21" s="839"/>
      <c r="C21" s="1031">
        <f t="shared" si="0"/>
        <v>0</v>
      </c>
      <c r="D21" s="1031">
        <f t="shared" si="1"/>
        <v>0</v>
      </c>
      <c r="E21" s="1031"/>
      <c r="F21" s="1031"/>
      <c r="G21" s="1031">
        <f t="shared" si="2"/>
        <v>0</v>
      </c>
      <c r="H21" s="1031"/>
      <c r="I21" s="1031">
        <f t="shared" si="3"/>
        <v>0</v>
      </c>
      <c r="J21" s="1031">
        <f t="shared" si="3"/>
        <v>0</v>
      </c>
      <c r="K21" s="1031">
        <f t="shared" si="3"/>
        <v>0</v>
      </c>
      <c r="L21" s="1031"/>
      <c r="M21" s="839"/>
      <c r="N21" s="839"/>
      <c r="O21" s="839"/>
      <c r="P21" s="1031"/>
      <c r="Q21" s="839"/>
      <c r="R21" s="839"/>
      <c r="S21" s="839"/>
    </row>
    <row r="22" spans="1:19">
      <c r="A22" s="1062">
        <f t="shared" si="4"/>
        <v>2.0599999999999987</v>
      </c>
      <c r="B22" s="839"/>
      <c r="C22" s="1031">
        <f t="shared" si="0"/>
        <v>0</v>
      </c>
      <c r="D22" s="1031">
        <f t="shared" si="1"/>
        <v>0</v>
      </c>
      <c r="E22" s="1031"/>
      <c r="F22" s="1031"/>
      <c r="G22" s="1031">
        <f t="shared" si="2"/>
        <v>0</v>
      </c>
      <c r="H22" s="1031"/>
      <c r="I22" s="1031">
        <f t="shared" si="3"/>
        <v>0</v>
      </c>
      <c r="J22" s="1031">
        <f t="shared" si="3"/>
        <v>0</v>
      </c>
      <c r="K22" s="1031">
        <f t="shared" si="3"/>
        <v>0</v>
      </c>
      <c r="L22" s="1031"/>
      <c r="M22" s="839"/>
      <c r="N22" s="839"/>
      <c r="O22" s="839"/>
      <c r="P22" s="1031"/>
      <c r="Q22" s="839"/>
      <c r="R22" s="839"/>
      <c r="S22" s="839"/>
    </row>
    <row r="23" spans="1:19">
      <c r="A23" s="1062">
        <f t="shared" si="4"/>
        <v>2.0699999999999985</v>
      </c>
      <c r="B23" s="839"/>
      <c r="C23" s="1031">
        <f t="shared" si="0"/>
        <v>0</v>
      </c>
      <c r="D23" s="1031">
        <f t="shared" si="1"/>
        <v>0</v>
      </c>
      <c r="E23" s="1031"/>
      <c r="F23" s="1031"/>
      <c r="G23" s="1031">
        <f t="shared" si="2"/>
        <v>0</v>
      </c>
      <c r="H23" s="1031"/>
      <c r="I23" s="1031">
        <f t="shared" si="3"/>
        <v>0</v>
      </c>
      <c r="J23" s="1031">
        <f t="shared" si="3"/>
        <v>0</v>
      </c>
      <c r="K23" s="1031">
        <f t="shared" si="3"/>
        <v>0</v>
      </c>
      <c r="L23" s="1031"/>
      <c r="M23" s="839"/>
      <c r="N23" s="839"/>
      <c r="O23" s="839"/>
      <c r="P23" s="1031"/>
      <c r="Q23" s="839"/>
      <c r="R23" s="839"/>
      <c r="S23" s="839"/>
    </row>
    <row r="24" spans="1:19">
      <c r="A24" s="1062">
        <f t="shared" si="4"/>
        <v>2.0799999999999983</v>
      </c>
      <c r="B24" s="839"/>
      <c r="C24" s="1031">
        <f t="shared" si="0"/>
        <v>0</v>
      </c>
      <c r="D24" s="1031">
        <f t="shared" si="1"/>
        <v>0</v>
      </c>
      <c r="E24" s="1031"/>
      <c r="F24" s="1031"/>
      <c r="G24" s="1031">
        <f t="shared" si="2"/>
        <v>0</v>
      </c>
      <c r="H24" s="1031"/>
      <c r="I24" s="1031">
        <f t="shared" si="3"/>
        <v>0</v>
      </c>
      <c r="J24" s="1031">
        <f t="shared" si="3"/>
        <v>0</v>
      </c>
      <c r="K24" s="1031">
        <f t="shared" si="3"/>
        <v>0</v>
      </c>
      <c r="L24" s="1031"/>
      <c r="M24" s="839"/>
      <c r="N24" s="839"/>
      <c r="O24" s="839"/>
      <c r="P24" s="1031"/>
      <c r="Q24" s="839"/>
      <c r="R24" s="839"/>
      <c r="S24" s="839"/>
    </row>
    <row r="25" spans="1:19">
      <c r="A25" s="1062">
        <f t="shared" si="4"/>
        <v>2.0899999999999981</v>
      </c>
      <c r="B25" s="839"/>
      <c r="C25" s="1031">
        <f t="shared" si="0"/>
        <v>0</v>
      </c>
      <c r="D25" s="1031">
        <f t="shared" si="1"/>
        <v>0</v>
      </c>
      <c r="E25" s="1031"/>
      <c r="F25" s="1031"/>
      <c r="G25" s="1031">
        <f t="shared" si="2"/>
        <v>0</v>
      </c>
      <c r="H25" s="1031"/>
      <c r="I25" s="1031">
        <f t="shared" si="3"/>
        <v>0</v>
      </c>
      <c r="J25" s="1031">
        <f t="shared" si="3"/>
        <v>0</v>
      </c>
      <c r="K25" s="1031">
        <f t="shared" si="3"/>
        <v>0</v>
      </c>
      <c r="L25" s="1031"/>
      <c r="M25" s="839"/>
      <c r="N25" s="839"/>
      <c r="O25" s="839"/>
      <c r="P25" s="1031"/>
      <c r="Q25" s="839"/>
      <c r="R25" s="839"/>
      <c r="S25" s="839"/>
    </row>
    <row r="26" spans="1:19">
      <c r="A26" s="1062">
        <f t="shared" si="4"/>
        <v>2.0999999999999979</v>
      </c>
      <c r="B26" s="839"/>
      <c r="C26" s="1031">
        <f t="shared" si="0"/>
        <v>0</v>
      </c>
      <c r="D26" s="1031">
        <f t="shared" si="1"/>
        <v>0</v>
      </c>
      <c r="E26" s="1031"/>
      <c r="F26" s="1031"/>
      <c r="G26" s="1031">
        <f t="shared" si="2"/>
        <v>0</v>
      </c>
      <c r="H26" s="1031"/>
      <c r="I26" s="1031">
        <f t="shared" si="3"/>
        <v>0</v>
      </c>
      <c r="J26" s="1031">
        <f t="shared" si="3"/>
        <v>0</v>
      </c>
      <c r="K26" s="1031">
        <f t="shared" si="3"/>
        <v>0</v>
      </c>
      <c r="L26" s="1031"/>
      <c r="M26" s="839"/>
      <c r="N26" s="839"/>
      <c r="O26" s="839"/>
      <c r="P26" s="1031"/>
      <c r="Q26" s="839"/>
      <c r="R26" s="839"/>
      <c r="S26" s="839"/>
    </row>
    <row r="27" spans="1:19" hidden="1">
      <c r="A27" s="1062">
        <f t="shared" si="4"/>
        <v>2.1099999999999977</v>
      </c>
      <c r="B27" s="839"/>
      <c r="C27" s="1031">
        <f t="shared" si="0"/>
        <v>0</v>
      </c>
      <c r="D27" s="1031">
        <f t="shared" si="1"/>
        <v>0</v>
      </c>
      <c r="E27" s="1031"/>
      <c r="F27" s="1031"/>
      <c r="G27" s="1031">
        <f t="shared" si="2"/>
        <v>0</v>
      </c>
      <c r="H27" s="1031"/>
      <c r="I27" s="1031">
        <f t="shared" si="3"/>
        <v>0</v>
      </c>
      <c r="J27" s="1031">
        <f t="shared" si="3"/>
        <v>0</v>
      </c>
      <c r="K27" s="1031">
        <f t="shared" si="3"/>
        <v>0</v>
      </c>
      <c r="L27" s="1031"/>
      <c r="M27" s="839"/>
      <c r="N27" s="839"/>
      <c r="O27" s="839"/>
      <c r="P27" s="1031"/>
      <c r="Q27" s="839"/>
      <c r="R27" s="839"/>
      <c r="S27" s="839"/>
    </row>
    <row r="28" spans="1:19" hidden="1">
      <c r="A28" s="1062">
        <f t="shared" si="4"/>
        <v>2.1199999999999974</v>
      </c>
      <c r="B28" s="839"/>
      <c r="C28" s="1031">
        <f t="shared" si="0"/>
        <v>0</v>
      </c>
      <c r="D28" s="1031">
        <f t="shared" si="1"/>
        <v>0</v>
      </c>
      <c r="E28" s="1031"/>
      <c r="F28" s="1031"/>
      <c r="G28" s="1031">
        <f t="shared" si="2"/>
        <v>0</v>
      </c>
      <c r="H28" s="1031"/>
      <c r="I28" s="1031">
        <f t="shared" si="3"/>
        <v>0</v>
      </c>
      <c r="J28" s="1031">
        <f t="shared" si="3"/>
        <v>0</v>
      </c>
      <c r="K28" s="1031">
        <f t="shared" si="3"/>
        <v>0</v>
      </c>
      <c r="L28" s="1031"/>
      <c r="M28" s="839"/>
      <c r="N28" s="839"/>
      <c r="O28" s="839"/>
      <c r="P28" s="1031"/>
      <c r="Q28" s="839"/>
      <c r="R28" s="839"/>
      <c r="S28" s="839"/>
    </row>
    <row r="29" spans="1:19" hidden="1">
      <c r="A29" s="1062">
        <f t="shared" si="4"/>
        <v>2.1299999999999972</v>
      </c>
      <c r="B29" s="839"/>
      <c r="C29" s="1031">
        <f t="shared" si="0"/>
        <v>0</v>
      </c>
      <c r="D29" s="1031">
        <f t="shared" si="1"/>
        <v>0</v>
      </c>
      <c r="E29" s="1031"/>
      <c r="F29" s="1031"/>
      <c r="G29" s="1031">
        <f t="shared" si="2"/>
        <v>0</v>
      </c>
      <c r="H29" s="1031"/>
      <c r="I29" s="1031">
        <f t="shared" si="3"/>
        <v>0</v>
      </c>
      <c r="J29" s="1031">
        <f t="shared" si="3"/>
        <v>0</v>
      </c>
      <c r="K29" s="1031">
        <f t="shared" si="3"/>
        <v>0</v>
      </c>
      <c r="L29" s="1031"/>
      <c r="M29" s="839"/>
      <c r="N29" s="839"/>
      <c r="O29" s="839"/>
      <c r="P29" s="1031"/>
      <c r="Q29" s="839"/>
      <c r="R29" s="839"/>
      <c r="S29" s="839"/>
    </row>
    <row r="30" spans="1:19" hidden="1">
      <c r="A30" s="1062">
        <f t="shared" si="4"/>
        <v>2.139999999999997</v>
      </c>
      <c r="B30" s="839"/>
      <c r="C30" s="1031">
        <f t="shared" si="0"/>
        <v>0</v>
      </c>
      <c r="D30" s="1031">
        <f t="shared" si="1"/>
        <v>0</v>
      </c>
      <c r="E30" s="1031"/>
      <c r="F30" s="1031"/>
      <c r="G30" s="1031">
        <f t="shared" si="2"/>
        <v>0</v>
      </c>
      <c r="H30" s="1031"/>
      <c r="I30" s="1031">
        <f t="shared" si="3"/>
        <v>0</v>
      </c>
      <c r="J30" s="1031">
        <f t="shared" si="3"/>
        <v>0</v>
      </c>
      <c r="K30" s="1031">
        <f t="shared" si="3"/>
        <v>0</v>
      </c>
      <c r="L30" s="1031"/>
      <c r="M30" s="839"/>
      <c r="N30" s="839"/>
      <c r="O30" s="839"/>
      <c r="P30" s="1031"/>
      <c r="Q30" s="839"/>
      <c r="R30" s="839"/>
      <c r="S30" s="839"/>
    </row>
    <row r="31" spans="1:19" hidden="1">
      <c r="A31" s="1062">
        <f t="shared" si="4"/>
        <v>2.1499999999999968</v>
      </c>
      <c r="B31" s="839"/>
      <c r="C31" s="1031">
        <f t="shared" si="0"/>
        <v>0</v>
      </c>
      <c r="D31" s="1031">
        <f t="shared" si="1"/>
        <v>0</v>
      </c>
      <c r="E31" s="1031"/>
      <c r="F31" s="1031"/>
      <c r="G31" s="1031">
        <f t="shared" si="2"/>
        <v>0</v>
      </c>
      <c r="H31" s="1031"/>
      <c r="I31" s="1031">
        <f t="shared" si="3"/>
        <v>0</v>
      </c>
      <c r="J31" s="1031">
        <f t="shared" si="3"/>
        <v>0</v>
      </c>
      <c r="K31" s="1031">
        <f t="shared" si="3"/>
        <v>0</v>
      </c>
      <c r="L31" s="1031"/>
      <c r="M31" s="839"/>
      <c r="N31" s="839"/>
      <c r="O31" s="839"/>
      <c r="P31" s="1031"/>
      <c r="Q31" s="839"/>
      <c r="R31" s="839"/>
      <c r="S31" s="839"/>
    </row>
    <row r="32" spans="1:19" hidden="1">
      <c r="A32" s="1062">
        <f t="shared" si="4"/>
        <v>2.1599999999999966</v>
      </c>
      <c r="B32" s="839"/>
      <c r="C32" s="1031">
        <f t="shared" si="0"/>
        <v>0</v>
      </c>
      <c r="D32" s="1031">
        <f t="shared" si="1"/>
        <v>0</v>
      </c>
      <c r="E32" s="1031"/>
      <c r="F32" s="1031"/>
      <c r="G32" s="1031">
        <f t="shared" si="2"/>
        <v>0</v>
      </c>
      <c r="H32" s="1031"/>
      <c r="I32" s="1031">
        <f t="shared" si="3"/>
        <v>0</v>
      </c>
      <c r="J32" s="1031">
        <f t="shared" si="3"/>
        <v>0</v>
      </c>
      <c r="K32" s="1031">
        <f t="shared" si="3"/>
        <v>0</v>
      </c>
      <c r="L32" s="1031"/>
      <c r="M32" s="839"/>
      <c r="N32" s="839"/>
      <c r="O32" s="839"/>
      <c r="P32" s="1031"/>
      <c r="Q32" s="839"/>
      <c r="R32" s="839"/>
      <c r="S32" s="839"/>
    </row>
    <row r="33" spans="1:19" hidden="1">
      <c r="A33" s="1062">
        <f t="shared" si="4"/>
        <v>2.1699999999999964</v>
      </c>
      <c r="B33" s="839"/>
      <c r="C33" s="1031">
        <f t="shared" si="0"/>
        <v>0</v>
      </c>
      <c r="D33" s="1031">
        <f t="shared" si="1"/>
        <v>0</v>
      </c>
      <c r="E33" s="1031"/>
      <c r="F33" s="1031"/>
      <c r="G33" s="1031">
        <f t="shared" si="2"/>
        <v>0</v>
      </c>
      <c r="H33" s="1031"/>
      <c r="I33" s="1031">
        <f t="shared" si="3"/>
        <v>0</v>
      </c>
      <c r="J33" s="1031">
        <f t="shared" si="3"/>
        <v>0</v>
      </c>
      <c r="K33" s="1031">
        <f t="shared" si="3"/>
        <v>0</v>
      </c>
      <c r="L33" s="1031"/>
      <c r="M33" s="839"/>
      <c r="N33" s="839"/>
      <c r="O33" s="839"/>
      <c r="P33" s="1031"/>
      <c r="Q33" s="839"/>
      <c r="R33" s="839"/>
      <c r="S33" s="839"/>
    </row>
    <row r="34" spans="1:19" hidden="1">
      <c r="A34" s="1062">
        <f t="shared" si="4"/>
        <v>2.1799999999999962</v>
      </c>
      <c r="B34" s="839"/>
      <c r="C34" s="1031">
        <f t="shared" si="0"/>
        <v>0</v>
      </c>
      <c r="D34" s="1031">
        <f t="shared" si="1"/>
        <v>0</v>
      </c>
      <c r="E34" s="1031"/>
      <c r="F34" s="1031"/>
      <c r="G34" s="1031">
        <f t="shared" si="2"/>
        <v>0</v>
      </c>
      <c r="H34" s="1031"/>
      <c r="I34" s="1031">
        <f t="shared" si="3"/>
        <v>0</v>
      </c>
      <c r="J34" s="1031">
        <f t="shared" si="3"/>
        <v>0</v>
      </c>
      <c r="K34" s="1031">
        <f t="shared" si="3"/>
        <v>0</v>
      </c>
      <c r="L34" s="1031"/>
      <c r="M34" s="839"/>
      <c r="N34" s="839"/>
      <c r="O34" s="839"/>
      <c r="P34" s="1031"/>
      <c r="Q34" s="839"/>
      <c r="R34" s="839"/>
      <c r="S34" s="839"/>
    </row>
    <row r="35" spans="1:19" hidden="1">
      <c r="A35" s="1062">
        <f t="shared" si="4"/>
        <v>2.1899999999999959</v>
      </c>
      <c r="B35" s="839"/>
      <c r="C35" s="1031">
        <f t="shared" si="0"/>
        <v>0</v>
      </c>
      <c r="D35" s="1031">
        <f t="shared" si="1"/>
        <v>0</v>
      </c>
      <c r="E35" s="1031"/>
      <c r="F35" s="1031"/>
      <c r="G35" s="1031">
        <f t="shared" si="2"/>
        <v>0</v>
      </c>
      <c r="H35" s="1031"/>
      <c r="I35" s="1031">
        <f t="shared" si="3"/>
        <v>0</v>
      </c>
      <c r="J35" s="1031">
        <f t="shared" si="3"/>
        <v>0</v>
      </c>
      <c r="K35" s="1031">
        <f t="shared" si="3"/>
        <v>0</v>
      </c>
      <c r="L35" s="1031"/>
      <c r="M35" s="839"/>
      <c r="N35" s="839"/>
      <c r="O35" s="839"/>
      <c r="P35" s="1031"/>
      <c r="Q35" s="839"/>
      <c r="R35" s="839"/>
      <c r="S35" s="839"/>
    </row>
    <row r="36" spans="1:19" hidden="1">
      <c r="A36" s="1062">
        <f t="shared" si="4"/>
        <v>2.1999999999999957</v>
      </c>
      <c r="B36" s="839"/>
      <c r="C36" s="1031">
        <f t="shared" si="0"/>
        <v>0</v>
      </c>
      <c r="D36" s="1031">
        <f t="shared" si="1"/>
        <v>0</v>
      </c>
      <c r="E36" s="1031"/>
      <c r="F36" s="1031"/>
      <c r="G36" s="1031">
        <f t="shared" si="2"/>
        <v>0</v>
      </c>
      <c r="H36" s="1031"/>
      <c r="I36" s="1031">
        <f t="shared" si="3"/>
        <v>0</v>
      </c>
      <c r="J36" s="1031">
        <f t="shared" si="3"/>
        <v>0</v>
      </c>
      <c r="K36" s="1031">
        <f t="shared" si="3"/>
        <v>0</v>
      </c>
      <c r="L36" s="1031"/>
      <c r="M36" s="839"/>
      <c r="N36" s="839"/>
      <c r="O36" s="839"/>
      <c r="P36" s="1031"/>
      <c r="Q36" s="839"/>
      <c r="R36" s="839"/>
      <c r="S36" s="839"/>
    </row>
    <row r="37" spans="1:19" hidden="1">
      <c r="A37" s="1062">
        <f t="shared" si="4"/>
        <v>2.2099999999999955</v>
      </c>
      <c r="B37" s="839"/>
      <c r="C37" s="1031">
        <f t="shared" si="0"/>
        <v>0</v>
      </c>
      <c r="D37" s="1031">
        <f t="shared" si="1"/>
        <v>0</v>
      </c>
      <c r="E37" s="1031"/>
      <c r="F37" s="1031"/>
      <c r="G37" s="1031">
        <f t="shared" si="2"/>
        <v>0</v>
      </c>
      <c r="H37" s="1031"/>
      <c r="I37" s="1031">
        <f t="shared" si="3"/>
        <v>0</v>
      </c>
      <c r="J37" s="1031">
        <f t="shared" si="3"/>
        <v>0</v>
      </c>
      <c r="K37" s="1031">
        <f t="shared" si="3"/>
        <v>0</v>
      </c>
      <c r="L37" s="1031"/>
      <c r="M37" s="839"/>
      <c r="N37" s="839"/>
      <c r="O37" s="839"/>
      <c r="P37" s="1031"/>
      <c r="Q37" s="839"/>
      <c r="R37" s="839"/>
      <c r="S37" s="839"/>
    </row>
    <row r="38" spans="1:19" hidden="1">
      <c r="A38" s="1062">
        <f t="shared" si="4"/>
        <v>2.2199999999999953</v>
      </c>
      <c r="B38" s="839"/>
      <c r="C38" s="1031">
        <f t="shared" si="0"/>
        <v>0</v>
      </c>
      <c r="D38" s="1031">
        <f t="shared" si="1"/>
        <v>0</v>
      </c>
      <c r="E38" s="1031"/>
      <c r="F38" s="1031"/>
      <c r="G38" s="1031">
        <f t="shared" si="2"/>
        <v>0</v>
      </c>
      <c r="H38" s="1031"/>
      <c r="I38" s="1031">
        <f t="shared" si="3"/>
        <v>0</v>
      </c>
      <c r="J38" s="1031">
        <f t="shared" si="3"/>
        <v>0</v>
      </c>
      <c r="K38" s="1031">
        <f t="shared" si="3"/>
        <v>0</v>
      </c>
      <c r="L38" s="1031"/>
      <c r="M38" s="839"/>
      <c r="N38" s="839"/>
      <c r="O38" s="839"/>
      <c r="P38" s="1031"/>
      <c r="Q38" s="839"/>
      <c r="R38" s="839"/>
      <c r="S38" s="839"/>
    </row>
    <row r="39" spans="1:19" hidden="1">
      <c r="A39" s="1062">
        <f t="shared" si="4"/>
        <v>2.2299999999999951</v>
      </c>
      <c r="B39" s="839"/>
      <c r="C39" s="1031">
        <f t="shared" si="0"/>
        <v>0</v>
      </c>
      <c r="D39" s="1031">
        <f t="shared" si="1"/>
        <v>0</v>
      </c>
      <c r="E39" s="1031"/>
      <c r="F39" s="1031"/>
      <c r="G39" s="1031">
        <f t="shared" si="2"/>
        <v>0</v>
      </c>
      <c r="H39" s="1031"/>
      <c r="I39" s="1031">
        <f t="shared" si="3"/>
        <v>0</v>
      </c>
      <c r="J39" s="1031">
        <f t="shared" si="3"/>
        <v>0</v>
      </c>
      <c r="K39" s="1031">
        <f t="shared" si="3"/>
        <v>0</v>
      </c>
      <c r="L39" s="1031"/>
      <c r="M39" s="839"/>
      <c r="N39" s="839"/>
      <c r="O39" s="839"/>
      <c r="P39" s="1031"/>
      <c r="Q39" s="839"/>
      <c r="R39" s="839"/>
      <c r="S39" s="839"/>
    </row>
    <row r="40" spans="1:19" hidden="1">
      <c r="A40" s="1062">
        <f t="shared" si="4"/>
        <v>2.2399999999999949</v>
      </c>
      <c r="B40" s="839"/>
      <c r="C40" s="1031">
        <f t="shared" si="0"/>
        <v>0</v>
      </c>
      <c r="D40" s="1031">
        <f t="shared" si="1"/>
        <v>0</v>
      </c>
      <c r="E40" s="1031"/>
      <c r="F40" s="1031"/>
      <c r="G40" s="1031">
        <f t="shared" si="2"/>
        <v>0</v>
      </c>
      <c r="H40" s="1031"/>
      <c r="I40" s="1031">
        <f t="shared" si="3"/>
        <v>0</v>
      </c>
      <c r="J40" s="1031">
        <f t="shared" si="3"/>
        <v>0</v>
      </c>
      <c r="K40" s="1031">
        <f t="shared" si="3"/>
        <v>0</v>
      </c>
      <c r="L40" s="1031"/>
      <c r="M40" s="839"/>
      <c r="N40" s="839"/>
      <c r="O40" s="839"/>
      <c r="P40" s="1031"/>
      <c r="Q40" s="839"/>
      <c r="R40" s="839"/>
      <c r="S40" s="839"/>
    </row>
    <row r="41" spans="1:19" hidden="1">
      <c r="A41" s="1062">
        <f t="shared" si="4"/>
        <v>2.2499999999999947</v>
      </c>
      <c r="B41" s="839"/>
      <c r="C41" s="1031">
        <f t="shared" si="0"/>
        <v>0</v>
      </c>
      <c r="D41" s="1031">
        <f t="shared" si="1"/>
        <v>0</v>
      </c>
      <c r="E41" s="1031"/>
      <c r="F41" s="1031"/>
      <c r="G41" s="1031">
        <f t="shared" si="2"/>
        <v>0</v>
      </c>
      <c r="H41" s="1031"/>
      <c r="I41" s="1031">
        <f t="shared" si="3"/>
        <v>0</v>
      </c>
      <c r="J41" s="1031">
        <f t="shared" si="3"/>
        <v>0</v>
      </c>
      <c r="K41" s="1031">
        <f t="shared" si="3"/>
        <v>0</v>
      </c>
      <c r="L41" s="1031"/>
      <c r="M41" s="839"/>
      <c r="N41" s="839"/>
      <c r="O41" s="839"/>
      <c r="P41" s="1031"/>
      <c r="Q41" s="839"/>
      <c r="R41" s="839"/>
      <c r="S41" s="839"/>
    </row>
    <row r="42" spans="1:19" hidden="1">
      <c r="A42" s="1062">
        <f t="shared" si="4"/>
        <v>2.2599999999999945</v>
      </c>
      <c r="B42" s="839"/>
      <c r="C42" s="1031">
        <f t="shared" si="0"/>
        <v>0</v>
      </c>
      <c r="D42" s="1031">
        <f t="shared" si="1"/>
        <v>0</v>
      </c>
      <c r="E42" s="1031"/>
      <c r="F42" s="1031"/>
      <c r="G42" s="1031">
        <f t="shared" si="2"/>
        <v>0</v>
      </c>
      <c r="H42" s="1031"/>
      <c r="I42" s="1031">
        <f t="shared" si="3"/>
        <v>0</v>
      </c>
      <c r="J42" s="1031">
        <f t="shared" si="3"/>
        <v>0</v>
      </c>
      <c r="K42" s="1031">
        <f t="shared" si="3"/>
        <v>0</v>
      </c>
      <c r="L42" s="1031"/>
      <c r="M42" s="839"/>
      <c r="N42" s="839"/>
      <c r="O42" s="839"/>
      <c r="P42" s="1031"/>
      <c r="Q42" s="839"/>
      <c r="R42" s="839"/>
      <c r="S42" s="839"/>
    </row>
    <row r="43" spans="1:19" hidden="1">
      <c r="A43" s="1062">
        <f t="shared" si="4"/>
        <v>2.2699999999999942</v>
      </c>
      <c r="B43" s="839"/>
      <c r="C43" s="1031">
        <f t="shared" si="0"/>
        <v>0</v>
      </c>
      <c r="D43" s="1031">
        <f t="shared" si="1"/>
        <v>0</v>
      </c>
      <c r="E43" s="1031"/>
      <c r="F43" s="1031"/>
      <c r="G43" s="1031">
        <f t="shared" si="2"/>
        <v>0</v>
      </c>
      <c r="H43" s="1031"/>
      <c r="I43" s="1031">
        <f t="shared" si="3"/>
        <v>0</v>
      </c>
      <c r="J43" s="1031">
        <f t="shared" si="3"/>
        <v>0</v>
      </c>
      <c r="K43" s="1031">
        <f t="shared" si="3"/>
        <v>0</v>
      </c>
      <c r="L43" s="1031"/>
      <c r="M43" s="839"/>
      <c r="N43" s="839"/>
      <c r="O43" s="839"/>
      <c r="P43" s="1031"/>
      <c r="Q43" s="839"/>
      <c r="R43" s="839"/>
      <c r="S43" s="839"/>
    </row>
    <row r="44" spans="1:19" hidden="1">
      <c r="A44" s="1062">
        <f t="shared" si="4"/>
        <v>2.279999999999994</v>
      </c>
      <c r="B44" s="839"/>
      <c r="C44" s="1031">
        <f t="shared" si="0"/>
        <v>0</v>
      </c>
      <c r="D44" s="1031">
        <f t="shared" si="1"/>
        <v>0</v>
      </c>
      <c r="E44" s="1031"/>
      <c r="F44" s="1031"/>
      <c r="G44" s="1031">
        <f t="shared" si="2"/>
        <v>0</v>
      </c>
      <c r="H44" s="1031"/>
      <c r="I44" s="1031">
        <f t="shared" si="3"/>
        <v>0</v>
      </c>
      <c r="J44" s="1031">
        <f t="shared" si="3"/>
        <v>0</v>
      </c>
      <c r="K44" s="1031">
        <f t="shared" si="3"/>
        <v>0</v>
      </c>
      <c r="L44" s="1031"/>
      <c r="M44" s="839"/>
      <c r="N44" s="839"/>
      <c r="O44" s="839"/>
      <c r="P44" s="1031"/>
      <c r="Q44" s="839"/>
      <c r="R44" s="839"/>
      <c r="S44" s="839"/>
    </row>
    <row r="45" spans="1:19" hidden="1">
      <c r="A45" s="1062">
        <f t="shared" si="4"/>
        <v>2.2899999999999938</v>
      </c>
      <c r="B45" s="839"/>
      <c r="C45" s="1031">
        <f t="shared" si="0"/>
        <v>0</v>
      </c>
      <c r="D45" s="1031">
        <f t="shared" si="1"/>
        <v>0</v>
      </c>
      <c r="E45" s="1031"/>
      <c r="F45" s="1031"/>
      <c r="G45" s="1031">
        <f t="shared" si="2"/>
        <v>0</v>
      </c>
      <c r="H45" s="1031"/>
      <c r="I45" s="1031">
        <f t="shared" si="3"/>
        <v>0</v>
      </c>
      <c r="J45" s="1031">
        <f t="shared" si="3"/>
        <v>0</v>
      </c>
      <c r="K45" s="1031">
        <f t="shared" si="3"/>
        <v>0</v>
      </c>
      <c r="L45" s="1031"/>
      <c r="M45" s="839"/>
      <c r="N45" s="839"/>
      <c r="O45" s="839"/>
      <c r="P45" s="1031"/>
      <c r="Q45" s="839"/>
      <c r="R45" s="839"/>
      <c r="S45" s="839"/>
    </row>
    <row r="46" spans="1:19" hidden="1">
      <c r="A46" s="1062">
        <f t="shared" si="4"/>
        <v>2.2999999999999936</v>
      </c>
      <c r="B46" s="839"/>
      <c r="C46" s="1031">
        <f t="shared" si="0"/>
        <v>0</v>
      </c>
      <c r="D46" s="1031">
        <f t="shared" si="1"/>
        <v>0</v>
      </c>
      <c r="E46" s="1031"/>
      <c r="F46" s="1031"/>
      <c r="G46" s="1031">
        <f t="shared" si="2"/>
        <v>0</v>
      </c>
      <c r="H46" s="1031"/>
      <c r="I46" s="1031">
        <f t="shared" si="3"/>
        <v>0</v>
      </c>
      <c r="J46" s="1031">
        <f t="shared" si="3"/>
        <v>0</v>
      </c>
      <c r="K46" s="1031">
        <f t="shared" si="3"/>
        <v>0</v>
      </c>
      <c r="L46" s="1031"/>
      <c r="M46" s="839"/>
      <c r="N46" s="839"/>
      <c r="O46" s="839"/>
      <c r="P46" s="1031"/>
      <c r="Q46" s="839"/>
      <c r="R46" s="839"/>
      <c r="S46" s="839"/>
    </row>
    <row r="47" spans="1:19" hidden="1">
      <c r="A47" s="1062">
        <f t="shared" si="4"/>
        <v>2.3099999999999934</v>
      </c>
      <c r="B47" s="839"/>
      <c r="C47" s="1031">
        <f t="shared" si="0"/>
        <v>0</v>
      </c>
      <c r="D47" s="1031">
        <f t="shared" si="1"/>
        <v>0</v>
      </c>
      <c r="E47" s="1031"/>
      <c r="F47" s="1031"/>
      <c r="G47" s="1031">
        <f t="shared" si="2"/>
        <v>0</v>
      </c>
      <c r="H47" s="1031"/>
      <c r="I47" s="1031">
        <f t="shared" si="3"/>
        <v>0</v>
      </c>
      <c r="J47" s="1031">
        <f t="shared" si="3"/>
        <v>0</v>
      </c>
      <c r="K47" s="1031">
        <f t="shared" si="3"/>
        <v>0</v>
      </c>
      <c r="L47" s="1031"/>
      <c r="M47" s="839"/>
      <c r="N47" s="839"/>
      <c r="O47" s="839"/>
      <c r="P47" s="1031"/>
      <c r="Q47" s="839"/>
      <c r="R47" s="839"/>
      <c r="S47" s="839"/>
    </row>
    <row r="48" spans="1:19" hidden="1">
      <c r="A48" s="1062">
        <f t="shared" si="4"/>
        <v>2.3199999999999932</v>
      </c>
      <c r="B48" s="839"/>
      <c r="C48" s="1031">
        <f t="shared" si="0"/>
        <v>0</v>
      </c>
      <c r="D48" s="1031">
        <f t="shared" si="1"/>
        <v>0</v>
      </c>
      <c r="E48" s="1031"/>
      <c r="F48" s="1031"/>
      <c r="G48" s="1031">
        <f t="shared" si="2"/>
        <v>0</v>
      </c>
      <c r="H48" s="1031"/>
      <c r="I48" s="1031">
        <f t="shared" si="3"/>
        <v>0</v>
      </c>
      <c r="J48" s="1031">
        <f t="shared" si="3"/>
        <v>0</v>
      </c>
      <c r="K48" s="1031">
        <f t="shared" si="3"/>
        <v>0</v>
      </c>
      <c r="L48" s="1031"/>
      <c r="M48" s="839"/>
      <c r="N48" s="839"/>
      <c r="O48" s="839"/>
      <c r="P48" s="1031"/>
      <c r="Q48" s="839"/>
      <c r="R48" s="839"/>
      <c r="S48" s="839"/>
    </row>
    <row r="49" spans="1:19" hidden="1">
      <c r="A49" s="1062">
        <f t="shared" si="4"/>
        <v>2.329999999999993</v>
      </c>
      <c r="B49" s="839"/>
      <c r="C49" s="1031">
        <f t="shared" si="0"/>
        <v>0</v>
      </c>
      <c r="D49" s="1031">
        <f t="shared" si="1"/>
        <v>0</v>
      </c>
      <c r="E49" s="1031"/>
      <c r="F49" s="1031"/>
      <c r="G49" s="1031">
        <f t="shared" si="2"/>
        <v>0</v>
      </c>
      <c r="H49" s="1031"/>
      <c r="I49" s="1031">
        <f t="shared" ref="I49:K80" si="5">(M49+Q49)/2</f>
        <v>0</v>
      </c>
      <c r="J49" s="1031">
        <f t="shared" si="5"/>
        <v>0</v>
      </c>
      <c r="K49" s="1031">
        <f t="shared" si="5"/>
        <v>0</v>
      </c>
      <c r="L49" s="1031"/>
      <c r="M49" s="839"/>
      <c r="N49" s="839"/>
      <c r="O49" s="839"/>
      <c r="P49" s="1031"/>
      <c r="Q49" s="839"/>
      <c r="R49" s="839"/>
      <c r="S49" s="839"/>
    </row>
    <row r="50" spans="1:19" hidden="1">
      <c r="A50" s="1062">
        <f t="shared" si="4"/>
        <v>2.3399999999999928</v>
      </c>
      <c r="B50" s="839"/>
      <c r="C50" s="1031">
        <f t="shared" si="0"/>
        <v>0</v>
      </c>
      <c r="D50" s="1031">
        <f t="shared" si="1"/>
        <v>0</v>
      </c>
      <c r="E50" s="1031"/>
      <c r="F50" s="1031"/>
      <c r="G50" s="1031">
        <f t="shared" si="2"/>
        <v>0</v>
      </c>
      <c r="H50" s="1031"/>
      <c r="I50" s="1031">
        <f t="shared" si="5"/>
        <v>0</v>
      </c>
      <c r="J50" s="1031">
        <f t="shared" si="5"/>
        <v>0</v>
      </c>
      <c r="K50" s="1031">
        <f t="shared" si="5"/>
        <v>0</v>
      </c>
      <c r="L50" s="1031"/>
      <c r="M50" s="839"/>
      <c r="N50" s="839"/>
      <c r="O50" s="839"/>
      <c r="P50" s="1031"/>
      <c r="Q50" s="839"/>
      <c r="R50" s="839"/>
      <c r="S50" s="839"/>
    </row>
    <row r="51" spans="1:19" hidden="1">
      <c r="A51" s="1062">
        <f t="shared" si="4"/>
        <v>2.3499999999999925</v>
      </c>
      <c r="B51" s="839"/>
      <c r="C51" s="1031">
        <f t="shared" si="0"/>
        <v>0</v>
      </c>
      <c r="D51" s="1031">
        <f t="shared" si="1"/>
        <v>0</v>
      </c>
      <c r="E51" s="1031"/>
      <c r="F51" s="1031"/>
      <c r="G51" s="1031">
        <f t="shared" si="2"/>
        <v>0</v>
      </c>
      <c r="H51" s="1031"/>
      <c r="I51" s="1031">
        <f t="shared" si="5"/>
        <v>0</v>
      </c>
      <c r="J51" s="1031">
        <f t="shared" si="5"/>
        <v>0</v>
      </c>
      <c r="K51" s="1031">
        <f t="shared" si="5"/>
        <v>0</v>
      </c>
      <c r="L51" s="1031"/>
      <c r="M51" s="839"/>
      <c r="N51" s="839"/>
      <c r="O51" s="839"/>
      <c r="P51" s="1031"/>
      <c r="Q51" s="839"/>
      <c r="R51" s="839"/>
      <c r="S51" s="839"/>
    </row>
    <row r="52" spans="1:19" hidden="1">
      <c r="A52" s="1062">
        <f t="shared" si="4"/>
        <v>2.3599999999999923</v>
      </c>
      <c r="B52" s="839"/>
      <c r="C52" s="1031">
        <f t="shared" si="0"/>
        <v>0</v>
      </c>
      <c r="D52" s="1031">
        <f t="shared" si="1"/>
        <v>0</v>
      </c>
      <c r="E52" s="1031"/>
      <c r="F52" s="1031"/>
      <c r="G52" s="1031">
        <f t="shared" si="2"/>
        <v>0</v>
      </c>
      <c r="H52" s="1031"/>
      <c r="I52" s="1031">
        <f t="shared" si="5"/>
        <v>0</v>
      </c>
      <c r="J52" s="1031">
        <f t="shared" si="5"/>
        <v>0</v>
      </c>
      <c r="K52" s="1031">
        <f t="shared" si="5"/>
        <v>0</v>
      </c>
      <c r="L52" s="1031"/>
      <c r="M52" s="839"/>
      <c r="N52" s="839"/>
      <c r="O52" s="839"/>
      <c r="P52" s="1031"/>
      <c r="Q52" s="839"/>
      <c r="R52" s="839"/>
      <c r="S52" s="839"/>
    </row>
    <row r="53" spans="1:19" hidden="1">
      <c r="A53" s="1062">
        <f t="shared" si="4"/>
        <v>2.3699999999999921</v>
      </c>
      <c r="B53" s="839"/>
      <c r="C53" s="1031">
        <f t="shared" si="0"/>
        <v>0</v>
      </c>
      <c r="D53" s="1031">
        <f t="shared" si="1"/>
        <v>0</v>
      </c>
      <c r="E53" s="1031"/>
      <c r="F53" s="1031"/>
      <c r="G53" s="1031">
        <f t="shared" si="2"/>
        <v>0</v>
      </c>
      <c r="H53" s="1031"/>
      <c r="I53" s="1031">
        <f t="shared" si="5"/>
        <v>0</v>
      </c>
      <c r="J53" s="1031">
        <f t="shared" si="5"/>
        <v>0</v>
      </c>
      <c r="K53" s="1031">
        <f t="shared" si="5"/>
        <v>0</v>
      </c>
      <c r="L53" s="1031"/>
      <c r="M53" s="839"/>
      <c r="N53" s="839"/>
      <c r="O53" s="839"/>
      <c r="P53" s="1031"/>
      <c r="Q53" s="839"/>
      <c r="R53" s="839"/>
      <c r="S53" s="839"/>
    </row>
    <row r="54" spans="1:19" hidden="1">
      <c r="A54" s="1062">
        <f t="shared" si="4"/>
        <v>2.3799999999999919</v>
      </c>
      <c r="B54" s="839"/>
      <c r="C54" s="1031">
        <f t="shared" si="0"/>
        <v>0</v>
      </c>
      <c r="D54" s="1031">
        <f t="shared" si="1"/>
        <v>0</v>
      </c>
      <c r="E54" s="1031"/>
      <c r="F54" s="1031"/>
      <c r="G54" s="1031">
        <f t="shared" si="2"/>
        <v>0</v>
      </c>
      <c r="H54" s="1031"/>
      <c r="I54" s="1031">
        <f t="shared" si="5"/>
        <v>0</v>
      </c>
      <c r="J54" s="1031">
        <f t="shared" si="5"/>
        <v>0</v>
      </c>
      <c r="K54" s="1031">
        <f t="shared" si="5"/>
        <v>0</v>
      </c>
      <c r="L54" s="1031"/>
      <c r="M54" s="839"/>
      <c r="N54" s="839"/>
      <c r="O54" s="839"/>
      <c r="P54" s="1031"/>
      <c r="Q54" s="839"/>
      <c r="R54" s="839"/>
      <c r="S54" s="839"/>
    </row>
    <row r="55" spans="1:19" hidden="1">
      <c r="A55" s="1062">
        <f t="shared" si="4"/>
        <v>2.3899999999999917</v>
      </c>
      <c r="B55" s="839"/>
      <c r="C55" s="1031">
        <f t="shared" si="0"/>
        <v>0</v>
      </c>
      <c r="D55" s="1031">
        <f t="shared" si="1"/>
        <v>0</v>
      </c>
      <c r="E55" s="1031"/>
      <c r="F55" s="1031"/>
      <c r="G55" s="1031">
        <f t="shared" si="2"/>
        <v>0</v>
      </c>
      <c r="H55" s="1031"/>
      <c r="I55" s="1031">
        <f t="shared" si="5"/>
        <v>0</v>
      </c>
      <c r="J55" s="1031">
        <f t="shared" si="5"/>
        <v>0</v>
      </c>
      <c r="K55" s="1031">
        <f t="shared" si="5"/>
        <v>0</v>
      </c>
      <c r="L55" s="1031"/>
      <c r="M55" s="839"/>
      <c r="N55" s="839"/>
      <c r="O55" s="839"/>
      <c r="P55" s="1031"/>
      <c r="Q55" s="839"/>
      <c r="R55" s="839"/>
      <c r="S55" s="839"/>
    </row>
    <row r="56" spans="1:19" hidden="1">
      <c r="A56" s="1062">
        <f t="shared" si="4"/>
        <v>2.3999999999999915</v>
      </c>
      <c r="B56" s="839"/>
      <c r="C56" s="1031">
        <f t="shared" si="0"/>
        <v>0</v>
      </c>
      <c r="D56" s="1031">
        <f t="shared" si="1"/>
        <v>0</v>
      </c>
      <c r="E56" s="1031"/>
      <c r="F56" s="1031"/>
      <c r="G56" s="1031">
        <f t="shared" si="2"/>
        <v>0</v>
      </c>
      <c r="H56" s="1031"/>
      <c r="I56" s="1031">
        <f t="shared" si="5"/>
        <v>0</v>
      </c>
      <c r="J56" s="1031">
        <f t="shared" si="5"/>
        <v>0</v>
      </c>
      <c r="K56" s="1031">
        <f t="shared" si="5"/>
        <v>0</v>
      </c>
      <c r="L56" s="1031"/>
      <c r="M56" s="839"/>
      <c r="N56" s="839"/>
      <c r="O56" s="839"/>
      <c r="P56" s="1031"/>
      <c r="Q56" s="839"/>
      <c r="R56" s="839"/>
      <c r="S56" s="839"/>
    </row>
    <row r="57" spans="1:19" hidden="1">
      <c r="A57" s="1062">
        <f t="shared" si="4"/>
        <v>2.4099999999999913</v>
      </c>
      <c r="B57" s="839"/>
      <c r="C57" s="1031">
        <f t="shared" si="0"/>
        <v>0</v>
      </c>
      <c r="D57" s="1031">
        <f t="shared" si="1"/>
        <v>0</v>
      </c>
      <c r="E57" s="1031"/>
      <c r="F57" s="1031"/>
      <c r="G57" s="1031">
        <f t="shared" si="2"/>
        <v>0</v>
      </c>
      <c r="H57" s="1031"/>
      <c r="I57" s="1031">
        <f t="shared" si="5"/>
        <v>0</v>
      </c>
      <c r="J57" s="1031">
        <f t="shared" si="5"/>
        <v>0</v>
      </c>
      <c r="K57" s="1031">
        <f t="shared" si="5"/>
        <v>0</v>
      </c>
      <c r="L57" s="1031"/>
      <c r="M57" s="839"/>
      <c r="N57" s="839"/>
      <c r="O57" s="839"/>
      <c r="P57" s="1031"/>
      <c r="Q57" s="839"/>
      <c r="R57" s="839"/>
      <c r="S57" s="839"/>
    </row>
    <row r="58" spans="1:19" hidden="1">
      <c r="A58" s="1062">
        <f t="shared" si="4"/>
        <v>2.419999999999991</v>
      </c>
      <c r="B58" s="839"/>
      <c r="C58" s="1031">
        <f t="shared" si="0"/>
        <v>0</v>
      </c>
      <c r="D58" s="1031">
        <f t="shared" si="1"/>
        <v>0</v>
      </c>
      <c r="E58" s="1031"/>
      <c r="F58" s="1031"/>
      <c r="G58" s="1031">
        <f t="shared" si="2"/>
        <v>0</v>
      </c>
      <c r="H58" s="1031"/>
      <c r="I58" s="1031">
        <f t="shared" si="5"/>
        <v>0</v>
      </c>
      <c r="J58" s="1031">
        <f t="shared" si="5"/>
        <v>0</v>
      </c>
      <c r="K58" s="1031">
        <f t="shared" si="5"/>
        <v>0</v>
      </c>
      <c r="L58" s="1031"/>
      <c r="M58" s="839"/>
      <c r="N58" s="839"/>
      <c r="O58" s="839"/>
      <c r="P58" s="1031"/>
      <c r="Q58" s="839"/>
      <c r="R58" s="839"/>
      <c r="S58" s="839"/>
    </row>
    <row r="59" spans="1:19" hidden="1">
      <c r="A59" s="1062">
        <f t="shared" si="4"/>
        <v>2.4299999999999908</v>
      </c>
      <c r="B59" s="839"/>
      <c r="C59" s="1031">
        <f t="shared" si="0"/>
        <v>0</v>
      </c>
      <c r="D59" s="1031">
        <f t="shared" si="1"/>
        <v>0</v>
      </c>
      <c r="E59" s="1031"/>
      <c r="F59" s="1031"/>
      <c r="G59" s="1031">
        <f t="shared" si="2"/>
        <v>0</v>
      </c>
      <c r="H59" s="1031"/>
      <c r="I59" s="1031">
        <f t="shared" si="5"/>
        <v>0</v>
      </c>
      <c r="J59" s="1031">
        <f t="shared" si="5"/>
        <v>0</v>
      </c>
      <c r="K59" s="1031">
        <f t="shared" si="5"/>
        <v>0</v>
      </c>
      <c r="L59" s="1031"/>
      <c r="M59" s="839"/>
      <c r="N59" s="839"/>
      <c r="O59" s="839"/>
      <c r="P59" s="1031"/>
      <c r="Q59" s="839"/>
      <c r="R59" s="839"/>
      <c r="S59" s="839"/>
    </row>
    <row r="60" spans="1:19" hidden="1">
      <c r="A60" s="1062">
        <f t="shared" si="4"/>
        <v>2.4399999999999906</v>
      </c>
      <c r="B60" s="839"/>
      <c r="C60" s="1031">
        <f t="shared" si="0"/>
        <v>0</v>
      </c>
      <c r="D60" s="1031">
        <f t="shared" si="1"/>
        <v>0</v>
      </c>
      <c r="E60" s="1031"/>
      <c r="F60" s="1031"/>
      <c r="G60" s="1031">
        <f t="shared" si="2"/>
        <v>0</v>
      </c>
      <c r="H60" s="1031"/>
      <c r="I60" s="1031">
        <f t="shared" si="5"/>
        <v>0</v>
      </c>
      <c r="J60" s="1031">
        <f t="shared" si="5"/>
        <v>0</v>
      </c>
      <c r="K60" s="1031">
        <f t="shared" si="5"/>
        <v>0</v>
      </c>
      <c r="L60" s="1031"/>
      <c r="M60" s="839"/>
      <c r="N60" s="839"/>
      <c r="O60" s="839"/>
      <c r="P60" s="1031"/>
      <c r="Q60" s="839"/>
      <c r="R60" s="839"/>
      <c r="S60" s="839"/>
    </row>
    <row r="61" spans="1:19" hidden="1">
      <c r="A61" s="1062">
        <f t="shared" si="4"/>
        <v>2.4499999999999904</v>
      </c>
      <c r="B61" s="839"/>
      <c r="C61" s="1031">
        <f t="shared" si="0"/>
        <v>0</v>
      </c>
      <c r="D61" s="1031">
        <f t="shared" si="1"/>
        <v>0</v>
      </c>
      <c r="E61" s="1031"/>
      <c r="F61" s="1031"/>
      <c r="G61" s="1031">
        <f t="shared" si="2"/>
        <v>0</v>
      </c>
      <c r="H61" s="1031"/>
      <c r="I61" s="1031">
        <f t="shared" si="5"/>
        <v>0</v>
      </c>
      <c r="J61" s="1031">
        <f t="shared" si="5"/>
        <v>0</v>
      </c>
      <c r="K61" s="1031">
        <f t="shared" si="5"/>
        <v>0</v>
      </c>
      <c r="L61" s="1031"/>
      <c r="M61" s="839"/>
      <c r="N61" s="839"/>
      <c r="O61" s="839"/>
      <c r="P61" s="1031"/>
      <c r="Q61" s="839"/>
      <c r="R61" s="839"/>
      <c r="S61" s="839"/>
    </row>
    <row r="62" spans="1:19" hidden="1">
      <c r="A62" s="1062">
        <f t="shared" si="4"/>
        <v>2.4599999999999902</v>
      </c>
      <c r="B62" s="839"/>
      <c r="C62" s="1031">
        <f t="shared" si="0"/>
        <v>0</v>
      </c>
      <c r="D62" s="1031">
        <f t="shared" si="1"/>
        <v>0</v>
      </c>
      <c r="E62" s="1031"/>
      <c r="F62" s="1031"/>
      <c r="G62" s="1031">
        <f t="shared" si="2"/>
        <v>0</v>
      </c>
      <c r="H62" s="1031"/>
      <c r="I62" s="1031">
        <f t="shared" si="5"/>
        <v>0</v>
      </c>
      <c r="J62" s="1031">
        <f t="shared" si="5"/>
        <v>0</v>
      </c>
      <c r="K62" s="1031">
        <f t="shared" si="5"/>
        <v>0</v>
      </c>
      <c r="L62" s="1031"/>
      <c r="M62" s="839"/>
      <c r="N62" s="839"/>
      <c r="O62" s="839"/>
      <c r="P62" s="1031"/>
      <c r="Q62" s="839"/>
      <c r="R62" s="839"/>
      <c r="S62" s="839"/>
    </row>
    <row r="63" spans="1:19" hidden="1">
      <c r="A63" s="1062">
        <f t="shared" si="4"/>
        <v>2.46999999999999</v>
      </c>
      <c r="B63" s="839"/>
      <c r="C63" s="1031">
        <f t="shared" si="0"/>
        <v>0</v>
      </c>
      <c r="D63" s="1031">
        <f t="shared" si="1"/>
        <v>0</v>
      </c>
      <c r="E63" s="1031"/>
      <c r="F63" s="1031"/>
      <c r="G63" s="1031">
        <f t="shared" si="2"/>
        <v>0</v>
      </c>
      <c r="H63" s="1031"/>
      <c r="I63" s="1031">
        <f t="shared" si="5"/>
        <v>0</v>
      </c>
      <c r="J63" s="1031">
        <f t="shared" si="5"/>
        <v>0</v>
      </c>
      <c r="K63" s="1031">
        <f t="shared" si="5"/>
        <v>0</v>
      </c>
      <c r="L63" s="1031"/>
      <c r="M63" s="839"/>
      <c r="N63" s="839"/>
      <c r="O63" s="839"/>
      <c r="P63" s="1031"/>
      <c r="Q63" s="839"/>
      <c r="R63" s="839"/>
      <c r="S63" s="839"/>
    </row>
    <row r="64" spans="1:19" hidden="1">
      <c r="A64" s="1062">
        <f t="shared" si="4"/>
        <v>2.4799999999999898</v>
      </c>
      <c r="B64" s="839"/>
      <c r="C64" s="1031">
        <f t="shared" si="0"/>
        <v>0</v>
      </c>
      <c r="D64" s="1031">
        <f t="shared" si="1"/>
        <v>0</v>
      </c>
      <c r="E64" s="1031"/>
      <c r="F64" s="1031"/>
      <c r="G64" s="1031">
        <f t="shared" si="2"/>
        <v>0</v>
      </c>
      <c r="H64" s="1031"/>
      <c r="I64" s="1031">
        <f t="shared" si="5"/>
        <v>0</v>
      </c>
      <c r="J64" s="1031">
        <f t="shared" si="5"/>
        <v>0</v>
      </c>
      <c r="K64" s="1031">
        <f t="shared" si="5"/>
        <v>0</v>
      </c>
      <c r="L64" s="1031"/>
      <c r="M64" s="839"/>
      <c r="N64" s="839"/>
      <c r="O64" s="839"/>
      <c r="P64" s="1031"/>
      <c r="Q64" s="839"/>
      <c r="R64" s="839"/>
      <c r="S64" s="839"/>
    </row>
    <row r="65" spans="1:19" hidden="1">
      <c r="A65" s="1062">
        <f t="shared" si="4"/>
        <v>2.4899999999999896</v>
      </c>
      <c r="B65" s="839"/>
      <c r="C65" s="1031">
        <f t="shared" si="0"/>
        <v>0</v>
      </c>
      <c r="D65" s="1031">
        <f t="shared" si="1"/>
        <v>0</v>
      </c>
      <c r="E65" s="1031"/>
      <c r="F65" s="1031"/>
      <c r="G65" s="1031">
        <f t="shared" si="2"/>
        <v>0</v>
      </c>
      <c r="H65" s="1031"/>
      <c r="I65" s="1031">
        <f t="shared" si="5"/>
        <v>0</v>
      </c>
      <c r="J65" s="1031">
        <f t="shared" si="5"/>
        <v>0</v>
      </c>
      <c r="K65" s="1031">
        <f t="shared" si="5"/>
        <v>0</v>
      </c>
      <c r="L65" s="1031"/>
      <c r="M65" s="839"/>
      <c r="N65" s="839"/>
      <c r="O65" s="839"/>
      <c r="P65" s="1031"/>
      <c r="Q65" s="839"/>
      <c r="R65" s="839"/>
      <c r="S65" s="839"/>
    </row>
    <row r="66" spans="1:19" hidden="1">
      <c r="A66" s="1062">
        <f t="shared" si="4"/>
        <v>2.4999999999999893</v>
      </c>
      <c r="B66" s="839"/>
      <c r="C66" s="1031">
        <f t="shared" si="0"/>
        <v>0</v>
      </c>
      <c r="D66" s="1031">
        <f t="shared" si="1"/>
        <v>0</v>
      </c>
      <c r="E66" s="1031"/>
      <c r="F66" s="1031"/>
      <c r="G66" s="1031">
        <f t="shared" si="2"/>
        <v>0</v>
      </c>
      <c r="H66" s="1031"/>
      <c r="I66" s="1031">
        <f t="shared" si="5"/>
        <v>0</v>
      </c>
      <c r="J66" s="1031">
        <f t="shared" si="5"/>
        <v>0</v>
      </c>
      <c r="K66" s="1031">
        <f t="shared" si="5"/>
        <v>0</v>
      </c>
      <c r="L66" s="1031"/>
      <c r="M66" s="839"/>
      <c r="N66" s="839"/>
      <c r="O66" s="839"/>
      <c r="P66" s="1031"/>
      <c r="Q66" s="839"/>
      <c r="R66" s="839"/>
      <c r="S66" s="839"/>
    </row>
    <row r="67" spans="1:19" hidden="1">
      <c r="A67" s="1062">
        <f t="shared" si="4"/>
        <v>2.5099999999999891</v>
      </c>
      <c r="B67" s="839"/>
      <c r="C67" s="1031">
        <f t="shared" si="0"/>
        <v>0</v>
      </c>
      <c r="D67" s="1031">
        <f t="shared" si="1"/>
        <v>0</v>
      </c>
      <c r="E67" s="1031"/>
      <c r="F67" s="1031"/>
      <c r="G67" s="1031">
        <f t="shared" si="2"/>
        <v>0</v>
      </c>
      <c r="H67" s="1031"/>
      <c r="I67" s="1031">
        <f t="shared" si="5"/>
        <v>0</v>
      </c>
      <c r="J67" s="1031">
        <f t="shared" si="5"/>
        <v>0</v>
      </c>
      <c r="K67" s="1031">
        <f t="shared" si="5"/>
        <v>0</v>
      </c>
      <c r="L67" s="1031"/>
      <c r="M67" s="839"/>
      <c r="N67" s="839"/>
      <c r="O67" s="839"/>
      <c r="P67" s="1031"/>
      <c r="Q67" s="839"/>
      <c r="R67" s="839"/>
      <c r="S67" s="839"/>
    </row>
    <row r="68" spans="1:19" hidden="1">
      <c r="A68" s="1062">
        <f t="shared" si="4"/>
        <v>2.5199999999999889</v>
      </c>
      <c r="B68" s="839"/>
      <c r="C68" s="1031">
        <f t="shared" si="0"/>
        <v>0</v>
      </c>
      <c r="D68" s="1031">
        <f t="shared" si="1"/>
        <v>0</v>
      </c>
      <c r="E68" s="1031"/>
      <c r="F68" s="1031"/>
      <c r="G68" s="1031">
        <f t="shared" si="2"/>
        <v>0</v>
      </c>
      <c r="H68" s="1031"/>
      <c r="I68" s="1031">
        <f t="shared" si="5"/>
        <v>0</v>
      </c>
      <c r="J68" s="1031">
        <f t="shared" si="5"/>
        <v>0</v>
      </c>
      <c r="K68" s="1031">
        <f t="shared" si="5"/>
        <v>0</v>
      </c>
      <c r="L68" s="1031"/>
      <c r="M68" s="839"/>
      <c r="N68" s="839"/>
      <c r="O68" s="839"/>
      <c r="P68" s="1031"/>
      <c r="Q68" s="839"/>
      <c r="R68" s="839"/>
      <c r="S68" s="839"/>
    </row>
    <row r="69" spans="1:19" hidden="1">
      <c r="A69" s="1062">
        <f t="shared" si="4"/>
        <v>2.5299999999999887</v>
      </c>
      <c r="B69" s="839"/>
      <c r="C69" s="1031">
        <f t="shared" si="0"/>
        <v>0</v>
      </c>
      <c r="D69" s="1031">
        <f t="shared" si="1"/>
        <v>0</v>
      </c>
      <c r="E69" s="1031"/>
      <c r="F69" s="1031"/>
      <c r="G69" s="1031">
        <f t="shared" si="2"/>
        <v>0</v>
      </c>
      <c r="H69" s="1031"/>
      <c r="I69" s="1031">
        <f t="shared" si="5"/>
        <v>0</v>
      </c>
      <c r="J69" s="1031">
        <f t="shared" si="5"/>
        <v>0</v>
      </c>
      <c r="K69" s="1031">
        <f t="shared" si="5"/>
        <v>0</v>
      </c>
      <c r="L69" s="1031"/>
      <c r="M69" s="839"/>
      <c r="N69" s="839"/>
      <c r="O69" s="839"/>
      <c r="P69" s="1031"/>
      <c r="Q69" s="839"/>
      <c r="R69" s="839"/>
      <c r="S69" s="839"/>
    </row>
    <row r="70" spans="1:19" hidden="1">
      <c r="A70" s="1062">
        <f t="shared" si="4"/>
        <v>2.5399999999999885</v>
      </c>
      <c r="B70" s="839"/>
      <c r="C70" s="1031">
        <f t="shared" si="0"/>
        <v>0</v>
      </c>
      <c r="D70" s="1031">
        <f t="shared" si="1"/>
        <v>0</v>
      </c>
      <c r="E70" s="1031"/>
      <c r="F70" s="1031"/>
      <c r="G70" s="1031">
        <f t="shared" si="2"/>
        <v>0</v>
      </c>
      <c r="H70" s="1031"/>
      <c r="I70" s="1031">
        <f t="shared" si="5"/>
        <v>0</v>
      </c>
      <c r="J70" s="1031">
        <f t="shared" si="5"/>
        <v>0</v>
      </c>
      <c r="K70" s="1031">
        <f t="shared" si="5"/>
        <v>0</v>
      </c>
      <c r="L70" s="1031"/>
      <c r="M70" s="839"/>
      <c r="N70" s="839"/>
      <c r="O70" s="839"/>
      <c r="P70" s="1031"/>
      <c r="Q70" s="839"/>
      <c r="R70" s="839"/>
      <c r="S70" s="839"/>
    </row>
    <row r="71" spans="1:19" hidden="1">
      <c r="A71" s="1062">
        <f t="shared" si="4"/>
        <v>2.5499999999999883</v>
      </c>
      <c r="B71" s="839"/>
      <c r="C71" s="1031">
        <f t="shared" si="0"/>
        <v>0</v>
      </c>
      <c r="D71" s="1031">
        <f t="shared" si="1"/>
        <v>0</v>
      </c>
      <c r="E71" s="1031"/>
      <c r="F71" s="1031"/>
      <c r="G71" s="1031">
        <f t="shared" si="2"/>
        <v>0</v>
      </c>
      <c r="H71" s="1031"/>
      <c r="I71" s="1031">
        <f t="shared" si="5"/>
        <v>0</v>
      </c>
      <c r="J71" s="1031">
        <f t="shared" si="5"/>
        <v>0</v>
      </c>
      <c r="K71" s="1031">
        <f t="shared" si="5"/>
        <v>0</v>
      </c>
      <c r="L71" s="1031"/>
      <c r="M71" s="839"/>
      <c r="N71" s="839"/>
      <c r="O71" s="839"/>
      <c r="P71" s="1031"/>
      <c r="Q71" s="839"/>
      <c r="R71" s="839"/>
      <c r="S71" s="839"/>
    </row>
    <row r="72" spans="1:19" hidden="1">
      <c r="A72" s="1062">
        <f t="shared" si="4"/>
        <v>2.5599999999999881</v>
      </c>
      <c r="B72" s="839"/>
      <c r="C72" s="1031">
        <f t="shared" si="0"/>
        <v>0</v>
      </c>
      <c r="D72" s="1031">
        <f t="shared" si="1"/>
        <v>0</v>
      </c>
      <c r="E72" s="1031"/>
      <c r="F72" s="1031"/>
      <c r="G72" s="1031">
        <f t="shared" si="2"/>
        <v>0</v>
      </c>
      <c r="H72" s="1031"/>
      <c r="I72" s="1031">
        <f t="shared" si="5"/>
        <v>0</v>
      </c>
      <c r="J72" s="1031">
        <f t="shared" si="5"/>
        <v>0</v>
      </c>
      <c r="K72" s="1031">
        <f t="shared" si="5"/>
        <v>0</v>
      </c>
      <c r="L72" s="1031"/>
      <c r="M72" s="839"/>
      <c r="N72" s="839"/>
      <c r="O72" s="839"/>
      <c r="P72" s="1031"/>
      <c r="Q72" s="839"/>
      <c r="R72" s="839"/>
      <c r="S72" s="839"/>
    </row>
    <row r="73" spans="1:19" hidden="1">
      <c r="A73" s="1062">
        <f t="shared" si="4"/>
        <v>2.5699999999999878</v>
      </c>
      <c r="B73" s="839"/>
      <c r="C73" s="1031">
        <f t="shared" si="0"/>
        <v>0</v>
      </c>
      <c r="D73" s="1031">
        <f t="shared" si="1"/>
        <v>0</v>
      </c>
      <c r="E73" s="1031"/>
      <c r="F73" s="1031"/>
      <c r="G73" s="1031">
        <f t="shared" si="2"/>
        <v>0</v>
      </c>
      <c r="H73" s="1031"/>
      <c r="I73" s="1031">
        <f t="shared" si="5"/>
        <v>0</v>
      </c>
      <c r="J73" s="1031">
        <f t="shared" si="5"/>
        <v>0</v>
      </c>
      <c r="K73" s="1031">
        <f t="shared" si="5"/>
        <v>0</v>
      </c>
      <c r="L73" s="1031"/>
      <c r="M73" s="839"/>
      <c r="N73" s="839"/>
      <c r="O73" s="839"/>
      <c r="P73" s="1031"/>
      <c r="Q73" s="839"/>
      <c r="R73" s="839"/>
      <c r="S73" s="839"/>
    </row>
    <row r="74" spans="1:19" hidden="1">
      <c r="A74" s="1062">
        <f t="shared" si="4"/>
        <v>2.5799999999999876</v>
      </c>
      <c r="B74" s="839"/>
      <c r="C74" s="1031">
        <f t="shared" si="0"/>
        <v>0</v>
      </c>
      <c r="D74" s="1031">
        <f t="shared" si="1"/>
        <v>0</v>
      </c>
      <c r="E74" s="1031"/>
      <c r="F74" s="1031"/>
      <c r="G74" s="1031">
        <f t="shared" si="2"/>
        <v>0</v>
      </c>
      <c r="H74" s="1031"/>
      <c r="I74" s="1031">
        <f t="shared" si="5"/>
        <v>0</v>
      </c>
      <c r="J74" s="1031">
        <f t="shared" si="5"/>
        <v>0</v>
      </c>
      <c r="K74" s="1031">
        <f t="shared" si="5"/>
        <v>0</v>
      </c>
      <c r="L74" s="1031"/>
      <c r="M74" s="839"/>
      <c r="N74" s="839"/>
      <c r="O74" s="839"/>
      <c r="P74" s="1031"/>
      <c r="Q74" s="839"/>
      <c r="R74" s="839"/>
      <c r="S74" s="839"/>
    </row>
    <row r="75" spans="1:19" hidden="1">
      <c r="A75" s="1062">
        <f t="shared" si="4"/>
        <v>2.5899999999999874</v>
      </c>
      <c r="B75" s="839"/>
      <c r="C75" s="1031">
        <f t="shared" si="0"/>
        <v>0</v>
      </c>
      <c r="D75" s="1031">
        <f t="shared" si="1"/>
        <v>0</v>
      </c>
      <c r="E75" s="1031"/>
      <c r="F75" s="1031"/>
      <c r="G75" s="1031">
        <f t="shared" si="2"/>
        <v>0</v>
      </c>
      <c r="H75" s="1031"/>
      <c r="I75" s="1031">
        <f t="shared" si="5"/>
        <v>0</v>
      </c>
      <c r="J75" s="1031">
        <f t="shared" si="5"/>
        <v>0</v>
      </c>
      <c r="K75" s="1031">
        <f t="shared" si="5"/>
        <v>0</v>
      </c>
      <c r="L75" s="1031"/>
      <c r="M75" s="839"/>
      <c r="N75" s="839"/>
      <c r="O75" s="839"/>
      <c r="P75" s="1031"/>
      <c r="Q75" s="839"/>
      <c r="R75" s="839"/>
      <c r="S75" s="839"/>
    </row>
    <row r="76" spans="1:19" hidden="1">
      <c r="A76" s="1062">
        <f t="shared" si="4"/>
        <v>2.5999999999999872</v>
      </c>
      <c r="B76" s="839"/>
      <c r="C76" s="1031">
        <f t="shared" si="0"/>
        <v>0</v>
      </c>
      <c r="D76" s="1031">
        <f t="shared" si="1"/>
        <v>0</v>
      </c>
      <c r="E76" s="1031"/>
      <c r="F76" s="1031"/>
      <c r="G76" s="1031">
        <f t="shared" si="2"/>
        <v>0</v>
      </c>
      <c r="H76" s="1031"/>
      <c r="I76" s="1031">
        <f t="shared" si="5"/>
        <v>0</v>
      </c>
      <c r="J76" s="1031">
        <f t="shared" si="5"/>
        <v>0</v>
      </c>
      <c r="K76" s="1031">
        <f t="shared" si="5"/>
        <v>0</v>
      </c>
      <c r="L76" s="1031"/>
      <c r="M76" s="839"/>
      <c r="N76" s="839"/>
      <c r="O76" s="839"/>
      <c r="P76" s="1031"/>
      <c r="Q76" s="839"/>
      <c r="R76" s="839"/>
      <c r="S76" s="839"/>
    </row>
    <row r="77" spans="1:19" hidden="1">
      <c r="A77" s="1062">
        <f t="shared" si="4"/>
        <v>2.609999999999987</v>
      </c>
      <c r="B77" s="839"/>
      <c r="C77" s="1036">
        <f t="shared" si="0"/>
        <v>0</v>
      </c>
      <c r="D77" s="1036">
        <f t="shared" si="1"/>
        <v>0</v>
      </c>
      <c r="E77" s="1036"/>
      <c r="F77" s="1036"/>
      <c r="G77" s="1036">
        <f t="shared" si="2"/>
        <v>0</v>
      </c>
      <c r="H77" s="1036"/>
      <c r="I77" s="1036">
        <f t="shared" si="5"/>
        <v>0</v>
      </c>
      <c r="J77" s="1036">
        <f t="shared" si="5"/>
        <v>0</v>
      </c>
      <c r="K77" s="1036">
        <f t="shared" si="5"/>
        <v>0</v>
      </c>
      <c r="L77" s="1036"/>
      <c r="M77" s="839"/>
      <c r="N77" s="839"/>
      <c r="O77" s="839"/>
      <c r="P77" s="1036"/>
      <c r="Q77" s="839"/>
      <c r="R77" s="839"/>
      <c r="S77" s="839"/>
    </row>
    <row r="78" spans="1:19" hidden="1">
      <c r="A78" s="1062">
        <f t="shared" si="4"/>
        <v>2.6199999999999868</v>
      </c>
      <c r="B78" s="839"/>
      <c r="C78" s="1036">
        <f t="shared" si="0"/>
        <v>0</v>
      </c>
      <c r="D78" s="1036">
        <f t="shared" si="1"/>
        <v>0</v>
      </c>
      <c r="E78" s="1036"/>
      <c r="F78" s="1036"/>
      <c r="G78" s="1036">
        <f t="shared" si="2"/>
        <v>0</v>
      </c>
      <c r="H78" s="1036"/>
      <c r="I78" s="1036">
        <f t="shared" si="5"/>
        <v>0</v>
      </c>
      <c r="J78" s="1036">
        <f t="shared" si="5"/>
        <v>0</v>
      </c>
      <c r="K78" s="1036">
        <f t="shared" si="5"/>
        <v>0</v>
      </c>
      <c r="L78" s="1036"/>
      <c r="M78" s="839"/>
      <c r="N78" s="839"/>
      <c r="O78" s="839"/>
      <c r="P78" s="1036"/>
      <c r="Q78" s="839"/>
      <c r="R78" s="839"/>
      <c r="S78" s="839"/>
    </row>
    <row r="79" spans="1:19" hidden="1">
      <c r="A79" s="1062">
        <f t="shared" si="4"/>
        <v>2.6299999999999866</v>
      </c>
      <c r="B79" s="839"/>
      <c r="C79" s="1031">
        <f t="shared" si="0"/>
        <v>0</v>
      </c>
      <c r="D79" s="1031">
        <f t="shared" si="1"/>
        <v>0</v>
      </c>
      <c r="E79" s="1031"/>
      <c r="F79" s="1031"/>
      <c r="G79" s="1031">
        <f t="shared" si="2"/>
        <v>0</v>
      </c>
      <c r="H79" s="1031"/>
      <c r="I79" s="1031">
        <f t="shared" si="5"/>
        <v>0</v>
      </c>
      <c r="J79" s="1031">
        <f t="shared" si="5"/>
        <v>0</v>
      </c>
      <c r="K79" s="1031">
        <f t="shared" si="5"/>
        <v>0</v>
      </c>
      <c r="L79" s="1031"/>
      <c r="M79" s="839"/>
      <c r="N79" s="839"/>
      <c r="O79" s="839"/>
      <c r="P79" s="1031"/>
      <c r="Q79" s="839"/>
      <c r="R79" s="839"/>
      <c r="S79" s="839"/>
    </row>
    <row r="80" spans="1:19" hidden="1">
      <c r="A80" s="1062">
        <f t="shared" si="4"/>
        <v>2.6399999999999864</v>
      </c>
      <c r="B80" s="839"/>
      <c r="C80" s="1031">
        <f t="shared" si="0"/>
        <v>0</v>
      </c>
      <c r="D80" s="1031">
        <f t="shared" si="1"/>
        <v>0</v>
      </c>
      <c r="E80" s="1031"/>
      <c r="F80" s="1031"/>
      <c r="G80" s="1031">
        <f t="shared" si="2"/>
        <v>0</v>
      </c>
      <c r="H80" s="1031"/>
      <c r="I80" s="1031">
        <f t="shared" si="5"/>
        <v>0</v>
      </c>
      <c r="J80" s="1031">
        <f t="shared" si="5"/>
        <v>0</v>
      </c>
      <c r="K80" s="1031">
        <f t="shared" si="5"/>
        <v>0</v>
      </c>
      <c r="L80" s="1031"/>
      <c r="M80" s="839"/>
      <c r="N80" s="839"/>
      <c r="O80" s="839"/>
      <c r="P80" s="1031"/>
      <c r="Q80" s="839"/>
      <c r="R80" s="839"/>
      <c r="S80" s="839"/>
    </row>
    <row r="81" spans="1:19" hidden="1">
      <c r="A81" s="1062">
        <f t="shared" si="4"/>
        <v>2.6499999999999861</v>
      </c>
      <c r="B81" s="839"/>
      <c r="C81" s="1031">
        <f t="shared" ref="C81:C95" si="6">SUM(M81:O81)</f>
        <v>0</v>
      </c>
      <c r="D81" s="1031">
        <f t="shared" ref="D81:D95" si="7">SUM(Q81:S81)</f>
        <v>0</v>
      </c>
      <c r="E81" s="1031"/>
      <c r="F81" s="1031"/>
      <c r="G81" s="1031">
        <f t="shared" ref="G81:G107" si="8">ROUND(SUM(C81:F81)/2,0)</f>
        <v>0</v>
      </c>
      <c r="H81" s="1031"/>
      <c r="I81" s="1031">
        <f t="shared" ref="I81:K95" si="9">(M81+Q81)/2</f>
        <v>0</v>
      </c>
      <c r="J81" s="1031">
        <f t="shared" si="9"/>
        <v>0</v>
      </c>
      <c r="K81" s="1031">
        <f t="shared" si="9"/>
        <v>0</v>
      </c>
      <c r="L81" s="1031"/>
      <c r="M81" s="839"/>
      <c r="N81" s="839"/>
      <c r="O81" s="839"/>
      <c r="P81" s="1031"/>
      <c r="Q81" s="839"/>
      <c r="R81" s="839"/>
      <c r="S81" s="839"/>
    </row>
    <row r="82" spans="1:19" hidden="1">
      <c r="A82" s="1062">
        <f t="shared" si="4"/>
        <v>2.6599999999999859</v>
      </c>
      <c r="B82" s="839"/>
      <c r="C82" s="1031">
        <f t="shared" si="6"/>
        <v>0</v>
      </c>
      <c r="D82" s="1031">
        <f t="shared" si="7"/>
        <v>0</v>
      </c>
      <c r="E82" s="1031"/>
      <c r="F82" s="1031"/>
      <c r="G82" s="1031">
        <f t="shared" si="8"/>
        <v>0</v>
      </c>
      <c r="H82" s="1031"/>
      <c r="I82" s="1031">
        <f t="shared" si="9"/>
        <v>0</v>
      </c>
      <c r="J82" s="1031">
        <f t="shared" si="9"/>
        <v>0</v>
      </c>
      <c r="K82" s="1031">
        <f t="shared" si="9"/>
        <v>0</v>
      </c>
      <c r="L82" s="1031"/>
      <c r="M82" s="839"/>
      <c r="N82" s="839"/>
      <c r="O82" s="839"/>
      <c r="P82" s="1031"/>
      <c r="Q82" s="839"/>
      <c r="R82" s="839"/>
      <c r="S82" s="839"/>
    </row>
    <row r="83" spans="1:19" hidden="1">
      <c r="A83" s="1062">
        <f t="shared" ref="A83:A107" si="10">A82+0.01</f>
        <v>2.6699999999999857</v>
      </c>
      <c r="B83" s="839"/>
      <c r="C83" s="1031">
        <f t="shared" si="6"/>
        <v>0</v>
      </c>
      <c r="D83" s="1031">
        <f t="shared" si="7"/>
        <v>0</v>
      </c>
      <c r="E83" s="1031"/>
      <c r="F83" s="1031"/>
      <c r="G83" s="1031">
        <f t="shared" si="8"/>
        <v>0</v>
      </c>
      <c r="H83" s="1031"/>
      <c r="I83" s="1031">
        <f t="shared" si="9"/>
        <v>0</v>
      </c>
      <c r="J83" s="1031">
        <f t="shared" si="9"/>
        <v>0</v>
      </c>
      <c r="K83" s="1031">
        <f t="shared" si="9"/>
        <v>0</v>
      </c>
      <c r="L83" s="1031"/>
      <c r="M83" s="839"/>
      <c r="N83" s="839"/>
      <c r="O83" s="839"/>
      <c r="P83" s="1031"/>
      <c r="Q83" s="839"/>
      <c r="R83" s="839"/>
      <c r="S83" s="839"/>
    </row>
    <row r="84" spans="1:19" hidden="1">
      <c r="A84" s="1062">
        <f t="shared" si="10"/>
        <v>2.6799999999999855</v>
      </c>
      <c r="B84" s="839"/>
      <c r="C84" s="1031">
        <f t="shared" si="6"/>
        <v>0</v>
      </c>
      <c r="D84" s="1031">
        <f t="shared" si="7"/>
        <v>0</v>
      </c>
      <c r="E84" s="1031"/>
      <c r="F84" s="1031"/>
      <c r="G84" s="1031">
        <f t="shared" si="8"/>
        <v>0</v>
      </c>
      <c r="H84" s="1031"/>
      <c r="I84" s="1031">
        <f t="shared" si="9"/>
        <v>0</v>
      </c>
      <c r="J84" s="1031">
        <f t="shared" si="9"/>
        <v>0</v>
      </c>
      <c r="K84" s="1031">
        <f t="shared" si="9"/>
        <v>0</v>
      </c>
      <c r="L84" s="1031"/>
      <c r="M84" s="839"/>
      <c r="N84" s="839"/>
      <c r="O84" s="839"/>
      <c r="P84" s="1031"/>
      <c r="Q84" s="839"/>
      <c r="R84" s="839"/>
      <c r="S84" s="839"/>
    </row>
    <row r="85" spans="1:19" hidden="1">
      <c r="A85" s="1062">
        <f t="shared" si="10"/>
        <v>2.6899999999999853</v>
      </c>
      <c r="B85" s="839"/>
      <c r="C85" s="1031">
        <f t="shared" si="6"/>
        <v>0</v>
      </c>
      <c r="D85" s="1031">
        <f t="shared" si="7"/>
        <v>0</v>
      </c>
      <c r="E85" s="1031"/>
      <c r="F85" s="1031"/>
      <c r="G85" s="1031">
        <f t="shared" si="8"/>
        <v>0</v>
      </c>
      <c r="H85" s="1031"/>
      <c r="I85" s="1031">
        <f t="shared" si="9"/>
        <v>0</v>
      </c>
      <c r="J85" s="1031">
        <f t="shared" si="9"/>
        <v>0</v>
      </c>
      <c r="K85" s="1031">
        <f t="shared" si="9"/>
        <v>0</v>
      </c>
      <c r="L85" s="1031"/>
      <c r="M85" s="839"/>
      <c r="N85" s="839"/>
      <c r="O85" s="839"/>
      <c r="P85" s="1031"/>
      <c r="Q85" s="839"/>
      <c r="R85" s="839"/>
      <c r="S85" s="839"/>
    </row>
    <row r="86" spans="1:19" hidden="1">
      <c r="A86" s="1062">
        <f t="shared" si="10"/>
        <v>2.6999999999999851</v>
      </c>
      <c r="B86" s="839"/>
      <c r="C86" s="1031">
        <f t="shared" si="6"/>
        <v>0</v>
      </c>
      <c r="D86" s="1031">
        <f t="shared" si="7"/>
        <v>0</v>
      </c>
      <c r="E86" s="1031"/>
      <c r="F86" s="1031"/>
      <c r="G86" s="1031">
        <f t="shared" si="8"/>
        <v>0</v>
      </c>
      <c r="H86" s="1031"/>
      <c r="I86" s="1031">
        <f t="shared" si="9"/>
        <v>0</v>
      </c>
      <c r="J86" s="1031">
        <f t="shared" si="9"/>
        <v>0</v>
      </c>
      <c r="K86" s="1031">
        <f t="shared" si="9"/>
        <v>0</v>
      </c>
      <c r="L86" s="1031"/>
      <c r="M86" s="839"/>
      <c r="N86" s="839"/>
      <c r="O86" s="839"/>
      <c r="P86" s="1031"/>
      <c r="Q86" s="839"/>
      <c r="R86" s="839"/>
      <c r="S86" s="839"/>
    </row>
    <row r="87" spans="1:19" hidden="1">
      <c r="A87" s="1062">
        <f t="shared" si="10"/>
        <v>2.7099999999999849</v>
      </c>
      <c r="B87" s="839"/>
      <c r="C87" s="1031">
        <f t="shared" si="6"/>
        <v>0</v>
      </c>
      <c r="D87" s="1031">
        <f t="shared" si="7"/>
        <v>0</v>
      </c>
      <c r="E87" s="1031"/>
      <c r="F87" s="1031"/>
      <c r="G87" s="1031">
        <f t="shared" si="8"/>
        <v>0</v>
      </c>
      <c r="H87" s="1031"/>
      <c r="I87" s="1031">
        <f t="shared" si="9"/>
        <v>0</v>
      </c>
      <c r="J87" s="1031">
        <f t="shared" si="9"/>
        <v>0</v>
      </c>
      <c r="K87" s="1031">
        <f t="shared" si="9"/>
        <v>0</v>
      </c>
      <c r="L87" s="1031"/>
      <c r="M87" s="839"/>
      <c r="N87" s="839"/>
      <c r="O87" s="839"/>
      <c r="P87" s="1031"/>
      <c r="Q87" s="839"/>
      <c r="R87" s="839"/>
      <c r="S87" s="839"/>
    </row>
    <row r="88" spans="1:19" hidden="1">
      <c r="A88" s="1062">
        <f t="shared" si="10"/>
        <v>2.7199999999999847</v>
      </c>
      <c r="B88" s="839"/>
      <c r="C88" s="1031">
        <f t="shared" si="6"/>
        <v>0</v>
      </c>
      <c r="D88" s="1031">
        <f t="shared" si="7"/>
        <v>0</v>
      </c>
      <c r="E88" s="1031"/>
      <c r="F88" s="1031"/>
      <c r="G88" s="1031">
        <f t="shared" si="8"/>
        <v>0</v>
      </c>
      <c r="H88" s="1031"/>
      <c r="I88" s="1031">
        <f t="shared" si="9"/>
        <v>0</v>
      </c>
      <c r="J88" s="1031">
        <f t="shared" si="9"/>
        <v>0</v>
      </c>
      <c r="K88" s="1031">
        <f t="shared" si="9"/>
        <v>0</v>
      </c>
      <c r="L88" s="1031"/>
      <c r="M88" s="839"/>
      <c r="N88" s="839"/>
      <c r="O88" s="839"/>
      <c r="P88" s="1031"/>
      <c r="Q88" s="839"/>
      <c r="R88" s="839"/>
      <c r="S88" s="839"/>
    </row>
    <row r="89" spans="1:19" hidden="1">
      <c r="A89" s="1062">
        <f t="shared" si="10"/>
        <v>2.7299999999999844</v>
      </c>
      <c r="B89" s="839"/>
      <c r="C89" s="1031">
        <f t="shared" si="6"/>
        <v>0</v>
      </c>
      <c r="D89" s="1031">
        <f t="shared" si="7"/>
        <v>0</v>
      </c>
      <c r="E89" s="1031"/>
      <c r="F89" s="1031"/>
      <c r="G89" s="1031">
        <f t="shared" si="8"/>
        <v>0</v>
      </c>
      <c r="H89" s="1031"/>
      <c r="I89" s="1031">
        <f t="shared" si="9"/>
        <v>0</v>
      </c>
      <c r="J89" s="1031">
        <f t="shared" si="9"/>
        <v>0</v>
      </c>
      <c r="K89" s="1031">
        <f t="shared" si="9"/>
        <v>0</v>
      </c>
      <c r="L89" s="1031"/>
      <c r="M89" s="839"/>
      <c r="N89" s="839"/>
      <c r="O89" s="839"/>
      <c r="P89" s="1031"/>
      <c r="Q89" s="839"/>
      <c r="R89" s="839"/>
      <c r="S89" s="839"/>
    </row>
    <row r="90" spans="1:19" hidden="1">
      <c r="A90" s="1062">
        <f t="shared" si="10"/>
        <v>2.7399999999999842</v>
      </c>
      <c r="B90" s="839"/>
      <c r="C90" s="1031">
        <f t="shared" si="6"/>
        <v>0</v>
      </c>
      <c r="D90" s="1031">
        <f t="shared" si="7"/>
        <v>0</v>
      </c>
      <c r="E90" s="1031"/>
      <c r="F90" s="1031"/>
      <c r="G90" s="1031">
        <f t="shared" si="8"/>
        <v>0</v>
      </c>
      <c r="H90" s="1031"/>
      <c r="I90" s="1031">
        <f t="shared" si="9"/>
        <v>0</v>
      </c>
      <c r="J90" s="1031">
        <f t="shared" si="9"/>
        <v>0</v>
      </c>
      <c r="K90" s="1031">
        <f t="shared" si="9"/>
        <v>0</v>
      </c>
      <c r="L90" s="1031"/>
      <c r="M90" s="839"/>
      <c r="N90" s="839"/>
      <c r="O90" s="839"/>
      <c r="P90" s="1031"/>
      <c r="Q90" s="839"/>
      <c r="R90" s="839"/>
      <c r="S90" s="839"/>
    </row>
    <row r="91" spans="1:19" hidden="1">
      <c r="A91" s="1062">
        <f t="shared" si="10"/>
        <v>2.749999999999984</v>
      </c>
      <c r="B91" s="839"/>
      <c r="C91" s="1031">
        <f t="shared" si="6"/>
        <v>0</v>
      </c>
      <c r="D91" s="1031">
        <f t="shared" si="7"/>
        <v>0</v>
      </c>
      <c r="E91" s="1031"/>
      <c r="F91" s="1031"/>
      <c r="G91" s="1031">
        <f t="shared" si="8"/>
        <v>0</v>
      </c>
      <c r="H91" s="1031"/>
      <c r="I91" s="1031">
        <f t="shared" si="9"/>
        <v>0</v>
      </c>
      <c r="J91" s="1031">
        <f t="shared" si="9"/>
        <v>0</v>
      </c>
      <c r="K91" s="1031">
        <f t="shared" si="9"/>
        <v>0</v>
      </c>
      <c r="L91" s="1031"/>
      <c r="M91" s="839"/>
      <c r="N91" s="839"/>
      <c r="O91" s="839"/>
      <c r="P91" s="1031"/>
      <c r="Q91" s="839"/>
      <c r="R91" s="839"/>
      <c r="S91" s="839"/>
    </row>
    <row r="92" spans="1:19" hidden="1">
      <c r="A92" s="1062">
        <f t="shared" si="10"/>
        <v>2.7599999999999838</v>
      </c>
      <c r="B92" s="839"/>
      <c r="C92" s="1031">
        <f t="shared" si="6"/>
        <v>0</v>
      </c>
      <c r="D92" s="1031">
        <f t="shared" si="7"/>
        <v>0</v>
      </c>
      <c r="E92" s="1031"/>
      <c r="F92" s="1031"/>
      <c r="G92" s="1031">
        <f t="shared" si="8"/>
        <v>0</v>
      </c>
      <c r="H92" s="1031"/>
      <c r="I92" s="1031">
        <f t="shared" si="9"/>
        <v>0</v>
      </c>
      <c r="J92" s="1031">
        <f t="shared" si="9"/>
        <v>0</v>
      </c>
      <c r="K92" s="1031">
        <f t="shared" si="9"/>
        <v>0</v>
      </c>
      <c r="L92" s="1031"/>
      <c r="M92" s="839"/>
      <c r="N92" s="839"/>
      <c r="O92" s="839"/>
      <c r="P92" s="1031"/>
      <c r="Q92" s="839"/>
      <c r="R92" s="839"/>
      <c r="S92" s="839"/>
    </row>
    <row r="93" spans="1:19" hidden="1">
      <c r="A93" s="1062">
        <f t="shared" si="10"/>
        <v>2.7699999999999836</v>
      </c>
      <c r="B93" s="839"/>
      <c r="C93" s="1031">
        <f t="shared" si="6"/>
        <v>0</v>
      </c>
      <c r="D93" s="1031">
        <f t="shared" si="7"/>
        <v>0</v>
      </c>
      <c r="E93" s="1031"/>
      <c r="F93" s="1031"/>
      <c r="G93" s="1031">
        <f t="shared" si="8"/>
        <v>0</v>
      </c>
      <c r="H93" s="1031"/>
      <c r="I93" s="1031">
        <f t="shared" si="9"/>
        <v>0</v>
      </c>
      <c r="J93" s="1031">
        <f t="shared" si="9"/>
        <v>0</v>
      </c>
      <c r="K93" s="1031">
        <f t="shared" si="9"/>
        <v>0</v>
      </c>
      <c r="L93" s="1031"/>
      <c r="M93" s="839"/>
      <c r="N93" s="839"/>
      <c r="O93" s="839"/>
      <c r="P93" s="1031"/>
      <c r="Q93" s="839"/>
      <c r="R93" s="839"/>
      <c r="S93" s="839"/>
    </row>
    <row r="94" spans="1:19" hidden="1">
      <c r="A94" s="1062">
        <f t="shared" si="10"/>
        <v>2.7799999999999834</v>
      </c>
      <c r="B94" s="839"/>
      <c r="C94" s="1031">
        <f t="shared" si="6"/>
        <v>0</v>
      </c>
      <c r="D94" s="1031">
        <f t="shared" si="7"/>
        <v>0</v>
      </c>
      <c r="E94" s="1031"/>
      <c r="F94" s="1031"/>
      <c r="G94" s="1031">
        <f t="shared" si="8"/>
        <v>0</v>
      </c>
      <c r="H94" s="1031"/>
      <c r="I94" s="1031">
        <f t="shared" si="9"/>
        <v>0</v>
      </c>
      <c r="J94" s="1031">
        <f t="shared" si="9"/>
        <v>0</v>
      </c>
      <c r="K94" s="1031">
        <f t="shared" si="9"/>
        <v>0</v>
      </c>
      <c r="L94" s="1031"/>
      <c r="M94" s="839"/>
      <c r="N94" s="839"/>
      <c r="O94" s="839"/>
      <c r="P94" s="1031"/>
      <c r="Q94" s="839"/>
      <c r="R94" s="839"/>
      <c r="S94" s="839"/>
    </row>
    <row r="95" spans="1:19">
      <c r="A95" s="1062">
        <f t="shared" si="10"/>
        <v>2.7899999999999832</v>
      </c>
      <c r="B95" s="839"/>
      <c r="C95" s="1031">
        <f t="shared" si="6"/>
        <v>0</v>
      </c>
      <c r="D95" s="1031">
        <f t="shared" si="7"/>
        <v>0</v>
      </c>
      <c r="E95" s="1031"/>
      <c r="F95" s="1031"/>
      <c r="G95" s="1031">
        <f t="shared" si="8"/>
        <v>0</v>
      </c>
      <c r="H95" s="1031"/>
      <c r="I95" s="1031">
        <f t="shared" si="9"/>
        <v>0</v>
      </c>
      <c r="J95" s="1031">
        <f t="shared" si="9"/>
        <v>0</v>
      </c>
      <c r="K95" s="1031">
        <f t="shared" si="9"/>
        <v>0</v>
      </c>
      <c r="L95" s="1031"/>
      <c r="M95" s="839"/>
      <c r="N95" s="839"/>
      <c r="O95" s="839"/>
      <c r="P95" s="1031"/>
      <c r="Q95" s="839"/>
      <c r="R95" s="839"/>
      <c r="S95" s="839"/>
    </row>
    <row r="96" spans="1:19">
      <c r="A96" s="1062">
        <f t="shared" si="10"/>
        <v>2.7999999999999829</v>
      </c>
      <c r="B96" s="839"/>
      <c r="C96" s="839"/>
      <c r="D96" s="839"/>
      <c r="E96" s="1031">
        <f t="shared" ref="E96:F106" si="11">-C96</f>
        <v>0</v>
      </c>
      <c r="F96" s="1031">
        <f t="shared" si="11"/>
        <v>0</v>
      </c>
      <c r="G96" s="1031">
        <f t="shared" si="8"/>
        <v>0</v>
      </c>
      <c r="H96" s="1031"/>
      <c r="I96" s="1031"/>
      <c r="J96" s="1031"/>
      <c r="K96" s="1031"/>
      <c r="L96" s="1031"/>
      <c r="M96" s="1031"/>
      <c r="N96" s="1031"/>
      <c r="O96" s="1031"/>
      <c r="P96" s="1031"/>
      <c r="Q96" s="1031"/>
      <c r="R96" s="1031"/>
      <c r="S96" s="1031"/>
    </row>
    <row r="97" spans="1:256">
      <c r="A97" s="1062">
        <f t="shared" si="10"/>
        <v>2.8099999999999827</v>
      </c>
      <c r="B97" s="839"/>
      <c r="C97" s="839"/>
      <c r="D97" s="839"/>
      <c r="E97" s="1031">
        <f t="shared" si="11"/>
        <v>0</v>
      </c>
      <c r="F97" s="1031">
        <f t="shared" si="11"/>
        <v>0</v>
      </c>
      <c r="G97" s="1031">
        <f t="shared" si="8"/>
        <v>0</v>
      </c>
      <c r="H97" s="1031"/>
      <c r="I97" s="1031"/>
      <c r="J97" s="1031"/>
      <c r="K97" s="1031"/>
      <c r="L97" s="1031"/>
      <c r="M97" s="1031"/>
      <c r="N97" s="1031"/>
      <c r="O97" s="1031"/>
      <c r="P97" s="1031"/>
      <c r="Q97" s="1031"/>
      <c r="R97" s="1031"/>
      <c r="S97" s="1031"/>
    </row>
    <row r="98" spans="1:256">
      <c r="A98" s="1062">
        <f t="shared" si="10"/>
        <v>2.8199999999999825</v>
      </c>
      <c r="B98" s="839"/>
      <c r="C98" s="839"/>
      <c r="D98" s="839"/>
      <c r="E98" s="1031">
        <f t="shared" si="11"/>
        <v>0</v>
      </c>
      <c r="F98" s="1031">
        <f t="shared" si="11"/>
        <v>0</v>
      </c>
      <c r="G98" s="1031">
        <f t="shared" si="8"/>
        <v>0</v>
      </c>
      <c r="H98" s="1031"/>
      <c r="I98" s="1031"/>
      <c r="J98" s="1031"/>
      <c r="K98" s="1031"/>
      <c r="L98" s="1031"/>
      <c r="M98" s="1031"/>
      <c r="N98" s="1031"/>
      <c r="O98" s="1031"/>
      <c r="P98" s="1031"/>
      <c r="Q98" s="1031"/>
      <c r="R98" s="1031"/>
      <c r="S98" s="1031"/>
    </row>
    <row r="99" spans="1:256">
      <c r="A99" s="1062">
        <f t="shared" si="10"/>
        <v>2.8299999999999823</v>
      </c>
      <c r="B99" s="839"/>
      <c r="C99" s="839"/>
      <c r="D99" s="839"/>
      <c r="E99" s="1031">
        <f t="shared" si="11"/>
        <v>0</v>
      </c>
      <c r="F99" s="1031">
        <f t="shared" si="11"/>
        <v>0</v>
      </c>
      <c r="G99" s="1031">
        <f t="shared" si="8"/>
        <v>0</v>
      </c>
      <c r="H99" s="1031"/>
      <c r="I99" s="1031"/>
      <c r="J99" s="1031"/>
      <c r="K99" s="1031"/>
      <c r="L99" s="1031"/>
      <c r="M99" s="1031"/>
      <c r="N99" s="1031"/>
      <c r="O99" s="1031"/>
      <c r="P99" s="1031"/>
      <c r="Q99" s="1031"/>
      <c r="R99" s="1031"/>
      <c r="S99" s="1031"/>
    </row>
    <row r="100" spans="1:256">
      <c r="A100" s="1062">
        <f t="shared" si="10"/>
        <v>2.8399999999999821</v>
      </c>
      <c r="B100" s="839"/>
      <c r="C100" s="839"/>
      <c r="D100" s="839"/>
      <c r="E100" s="1031">
        <f t="shared" si="11"/>
        <v>0</v>
      </c>
      <c r="F100" s="1031">
        <f t="shared" si="11"/>
        <v>0</v>
      </c>
      <c r="G100" s="1031">
        <f t="shared" si="8"/>
        <v>0</v>
      </c>
      <c r="H100" s="1031"/>
      <c r="I100" s="1031"/>
      <c r="J100" s="1031"/>
      <c r="K100" s="1031"/>
      <c r="L100" s="1031"/>
      <c r="M100" s="1031"/>
      <c r="N100" s="1031"/>
      <c r="O100" s="1031"/>
      <c r="P100" s="1031"/>
      <c r="Q100" s="1031"/>
      <c r="R100" s="1031"/>
      <c r="S100" s="1031"/>
    </row>
    <row r="101" spans="1:256">
      <c r="A101" s="1062">
        <f t="shared" si="10"/>
        <v>2.8499999999999819</v>
      </c>
      <c r="B101" s="839"/>
      <c r="C101" s="839"/>
      <c r="D101" s="839"/>
      <c r="E101" s="1031">
        <f t="shared" si="11"/>
        <v>0</v>
      </c>
      <c r="F101" s="1031">
        <f t="shared" si="11"/>
        <v>0</v>
      </c>
      <c r="G101" s="1031">
        <f t="shared" si="8"/>
        <v>0</v>
      </c>
      <c r="H101" s="1031"/>
      <c r="I101" s="1031"/>
      <c r="J101" s="1031"/>
      <c r="K101" s="1031"/>
      <c r="L101" s="1031"/>
      <c r="M101" s="1031"/>
      <c r="N101" s="1031"/>
      <c r="O101" s="1031"/>
      <c r="P101" s="1031"/>
      <c r="Q101" s="1031"/>
      <c r="R101" s="1031"/>
      <c r="S101" s="1031"/>
    </row>
    <row r="102" spans="1:256">
      <c r="A102" s="1062">
        <f t="shared" si="10"/>
        <v>2.8599999999999817</v>
      </c>
      <c r="B102" s="839"/>
      <c r="C102" s="839"/>
      <c r="D102" s="839"/>
      <c r="E102" s="1031">
        <f t="shared" si="11"/>
        <v>0</v>
      </c>
      <c r="F102" s="1031">
        <f t="shared" si="11"/>
        <v>0</v>
      </c>
      <c r="G102" s="1031">
        <f t="shared" si="8"/>
        <v>0</v>
      </c>
      <c r="H102" s="1031"/>
      <c r="I102" s="1031"/>
      <c r="J102" s="1031"/>
      <c r="K102" s="1031"/>
      <c r="L102" s="1031"/>
      <c r="M102" s="1031"/>
      <c r="N102" s="1031"/>
      <c r="O102" s="1031"/>
      <c r="P102" s="1031"/>
      <c r="Q102" s="1031"/>
      <c r="R102" s="1031"/>
      <c r="S102" s="1031"/>
    </row>
    <row r="103" spans="1:256">
      <c r="A103" s="1062">
        <f t="shared" si="10"/>
        <v>2.8699999999999815</v>
      </c>
      <c r="B103" s="839"/>
      <c r="C103" s="839"/>
      <c r="D103" s="839"/>
      <c r="E103" s="1031">
        <f t="shared" si="11"/>
        <v>0</v>
      </c>
      <c r="F103" s="1031">
        <f t="shared" si="11"/>
        <v>0</v>
      </c>
      <c r="G103" s="1031">
        <f t="shared" si="8"/>
        <v>0</v>
      </c>
      <c r="H103" s="1031"/>
      <c r="I103" s="1031"/>
      <c r="J103" s="1031"/>
      <c r="K103" s="1031"/>
      <c r="L103" s="1031"/>
      <c r="M103" s="1031"/>
      <c r="N103" s="1031"/>
      <c r="O103" s="1031"/>
      <c r="P103" s="1031"/>
      <c r="Q103" s="1031"/>
      <c r="R103" s="1031"/>
      <c r="S103" s="1031"/>
    </row>
    <row r="104" spans="1:256">
      <c r="A104" s="1062">
        <f t="shared" si="10"/>
        <v>2.8799999999999812</v>
      </c>
      <c r="B104" s="839"/>
      <c r="C104" s="839"/>
      <c r="D104" s="839"/>
      <c r="E104" s="1031">
        <f t="shared" si="11"/>
        <v>0</v>
      </c>
      <c r="F104" s="1031">
        <f t="shared" si="11"/>
        <v>0</v>
      </c>
      <c r="G104" s="1031">
        <f t="shared" si="8"/>
        <v>0</v>
      </c>
      <c r="H104" s="1031"/>
      <c r="I104" s="1031"/>
      <c r="J104" s="1031"/>
      <c r="K104" s="1031"/>
      <c r="L104" s="1031"/>
      <c r="M104" s="1031"/>
      <c r="N104" s="1031"/>
      <c r="O104" s="1031"/>
      <c r="P104" s="1031"/>
      <c r="Q104" s="1031"/>
      <c r="R104" s="1031"/>
      <c r="S104" s="1031"/>
    </row>
    <row r="105" spans="1:256">
      <c r="A105" s="1062">
        <f t="shared" si="10"/>
        <v>2.889999999999981</v>
      </c>
      <c r="B105" s="839"/>
      <c r="C105" s="839"/>
      <c r="D105" s="839"/>
      <c r="E105" s="1031">
        <f t="shared" si="11"/>
        <v>0</v>
      </c>
      <c r="F105" s="1031">
        <f t="shared" si="11"/>
        <v>0</v>
      </c>
      <c r="G105" s="1031">
        <f t="shared" si="8"/>
        <v>0</v>
      </c>
      <c r="H105" s="1031"/>
      <c r="I105" s="1031"/>
      <c r="J105" s="1031"/>
      <c r="K105" s="1031"/>
      <c r="L105" s="1031"/>
      <c r="M105" s="1031"/>
      <c r="N105" s="1031"/>
      <c r="O105" s="1031"/>
      <c r="P105" s="1031"/>
      <c r="Q105" s="1031"/>
      <c r="R105" s="1031"/>
      <c r="S105" s="1031"/>
    </row>
    <row r="106" spans="1:256">
      <c r="A106" s="1062">
        <f t="shared" si="10"/>
        <v>2.8999999999999808</v>
      </c>
      <c r="B106" s="839"/>
      <c r="C106" s="839"/>
      <c r="D106" s="839"/>
      <c r="E106" s="1031">
        <f t="shared" si="11"/>
        <v>0</v>
      </c>
      <c r="F106" s="1031">
        <f t="shared" si="11"/>
        <v>0</v>
      </c>
      <c r="G106" s="1031">
        <f t="shared" si="8"/>
        <v>0</v>
      </c>
      <c r="H106" s="1031"/>
      <c r="I106" s="1031">
        <f t="shared" ref="I106:K107" si="12">(M106+Q106)/2</f>
        <v>0</v>
      </c>
      <c r="J106" s="1031">
        <f t="shared" si="12"/>
        <v>0</v>
      </c>
      <c r="K106" s="1031">
        <f t="shared" si="12"/>
        <v>0</v>
      </c>
      <c r="L106" s="1031"/>
      <c r="M106" s="1031"/>
      <c r="N106" s="1031"/>
      <c r="O106" s="1031"/>
      <c r="P106" s="1031"/>
      <c r="Q106" s="1031"/>
      <c r="R106" s="1031"/>
      <c r="S106" s="1031"/>
    </row>
    <row r="107" spans="1:256">
      <c r="A107" s="1062">
        <f t="shared" si="10"/>
        <v>2.9099999999999806</v>
      </c>
      <c r="B107" s="839"/>
      <c r="C107" s="1031">
        <f>SUM(M107:O107)</f>
        <v>0</v>
      </c>
      <c r="D107" s="1031">
        <f>SUM(Q107:S107)</f>
        <v>0</v>
      </c>
      <c r="E107" s="1031"/>
      <c r="F107" s="1031"/>
      <c r="G107" s="1031">
        <f t="shared" si="8"/>
        <v>0</v>
      </c>
      <c r="H107" s="1031"/>
      <c r="I107" s="1031">
        <f t="shared" si="12"/>
        <v>0</v>
      </c>
      <c r="J107" s="1031">
        <f t="shared" si="12"/>
        <v>0</v>
      </c>
      <c r="K107" s="1031">
        <f t="shared" si="12"/>
        <v>0</v>
      </c>
      <c r="L107" s="1031"/>
      <c r="M107" s="1033"/>
      <c r="N107" s="1033"/>
      <c r="O107" s="1033"/>
      <c r="P107" s="1031"/>
      <c r="Q107" s="1033"/>
      <c r="R107" s="1033"/>
      <c r="S107" s="1033"/>
    </row>
    <row r="108" spans="1:256">
      <c r="A108" s="1052"/>
      <c r="B108" s="1031"/>
      <c r="C108" s="1031"/>
      <c r="D108" s="1031"/>
      <c r="E108" s="1031"/>
      <c r="F108" s="1031"/>
      <c r="G108" s="1031"/>
      <c r="H108" s="1031"/>
      <c r="I108" s="1031"/>
      <c r="J108" s="1031"/>
      <c r="K108" s="1031"/>
      <c r="L108" s="1031"/>
      <c r="M108" s="1031"/>
      <c r="N108" s="1031"/>
      <c r="O108" s="1031"/>
      <c r="P108" s="1031"/>
      <c r="Q108" s="1031"/>
      <c r="R108" s="1031"/>
      <c r="S108" s="1031"/>
    </row>
    <row r="109" spans="1:256" ht="13.5" thickBot="1">
      <c r="A109" s="22">
        <v>3</v>
      </c>
      <c r="B109" s="1037" t="s">
        <v>731</v>
      </c>
      <c r="C109" s="1053">
        <f>SUM(C17:C108)</f>
        <v>0</v>
      </c>
      <c r="D109" s="1053">
        <f>SUM(D17:D108)</f>
        <v>0</v>
      </c>
      <c r="E109" s="1053">
        <f>SUM(E17:E108)</f>
        <v>0</v>
      </c>
      <c r="F109" s="1053">
        <f>SUM(F17:F108)</f>
        <v>0</v>
      </c>
      <c r="G109" s="1053">
        <f>SUM(G17:G108)</f>
        <v>0</v>
      </c>
      <c r="H109" s="1031"/>
      <c r="I109" s="1053">
        <f>SUM(I17:I108)</f>
        <v>0</v>
      </c>
      <c r="J109" s="1053">
        <f>SUM(J17:J108)</f>
        <v>0</v>
      </c>
      <c r="K109" s="1053">
        <f>SUM(K17:K108)</f>
        <v>0</v>
      </c>
      <c r="L109" s="1031"/>
      <c r="M109" s="1053">
        <f>SUM(M17:M108)</f>
        <v>0</v>
      </c>
      <c r="N109" s="1053">
        <f>SUM(N17:N108)</f>
        <v>0</v>
      </c>
      <c r="O109" s="1053">
        <f>SUM(O17:O108)</f>
        <v>0</v>
      </c>
      <c r="P109" s="1031"/>
      <c r="Q109" s="1053">
        <f>SUM(Q17:Q108)</f>
        <v>0</v>
      </c>
      <c r="R109" s="1053">
        <f>SUM(R17:R108)</f>
        <v>0</v>
      </c>
      <c r="S109" s="1053">
        <f>SUM(S17:S108)</f>
        <v>0</v>
      </c>
    </row>
    <row r="110" spans="1:256" ht="13.5" thickTop="1">
      <c r="A110" s="1">
        <v>4</v>
      </c>
      <c r="B110" s="1109" t="s">
        <v>734</v>
      </c>
      <c r="C110" s="1110">
        <f>C77+C78</f>
        <v>0</v>
      </c>
      <c r="D110" s="1110">
        <f>D77+D78</f>
        <v>0</v>
      </c>
      <c r="E110" s="1110">
        <f>E77+E78</f>
        <v>0</v>
      </c>
      <c r="F110" s="1110">
        <f>F77+F78</f>
        <v>0</v>
      </c>
      <c r="G110" s="1110">
        <f>G77+G78</f>
        <v>0</v>
      </c>
      <c r="H110" s="6"/>
      <c r="I110" s="1110">
        <f>I77+I78</f>
        <v>0</v>
      </c>
      <c r="J110" s="1110">
        <f>J77+J78</f>
        <v>0</v>
      </c>
      <c r="K110" s="1110">
        <f>K77+K78</f>
        <v>0</v>
      </c>
      <c r="L110" s="6"/>
      <c r="M110" s="1110">
        <f>M77+M78</f>
        <v>0</v>
      </c>
      <c r="N110" s="1110">
        <f>N77+N78</f>
        <v>0</v>
      </c>
      <c r="O110" s="1110">
        <f>O77+O78</f>
        <v>0</v>
      </c>
      <c r="P110" s="6"/>
      <c r="Q110" s="1110">
        <f>Q77+Q78</f>
        <v>0</v>
      </c>
      <c r="R110" s="1110">
        <f>R77+R78</f>
        <v>0</v>
      </c>
      <c r="S110" s="1110">
        <f>S77+S78</f>
        <v>0</v>
      </c>
      <c r="T110" s="6"/>
      <c r="IV110" s="1054"/>
    </row>
    <row r="111" spans="1:256">
      <c r="I111" s="1054"/>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W115"/>
  <sheetViews>
    <sheetView workbookViewId="0">
      <selection activeCell="P10" sqref="P10"/>
    </sheetView>
  </sheetViews>
  <sheetFormatPr defaultColWidth="10" defaultRowHeight="12"/>
  <cols>
    <col min="1" max="1" width="9.42578125" style="1258" customWidth="1"/>
    <col min="2" max="2" width="20.85546875" style="1259" customWidth="1"/>
    <col min="3" max="3" width="35.5703125" style="1258" customWidth="1"/>
    <col min="4" max="4" width="12.85546875" style="1258" customWidth="1"/>
    <col min="5" max="5" width="10.42578125" style="1258" customWidth="1"/>
    <col min="6" max="6" width="16.42578125" style="1258" customWidth="1"/>
    <col min="7" max="7" width="12" style="1258" customWidth="1"/>
    <col min="8" max="8" width="14.28515625" style="1258" bestFit="1" customWidth="1"/>
    <col min="9" max="9" width="18.85546875" style="1258" customWidth="1"/>
    <col min="10" max="10" width="15.5703125" style="1258" customWidth="1"/>
    <col min="11" max="11" width="16.140625" style="1258" customWidth="1"/>
    <col min="12" max="13" width="15" style="1258" customWidth="1"/>
    <col min="14" max="14" width="13.5703125" style="1258" customWidth="1"/>
    <col min="15" max="15" width="15" style="1258" customWidth="1"/>
    <col min="16" max="17" width="17.5703125" style="1258" customWidth="1"/>
    <col min="18" max="18" width="37.140625" style="1258" bestFit="1" customWidth="1"/>
    <col min="19" max="19" width="15" style="1258" customWidth="1"/>
    <col min="20" max="21" width="14.5703125" style="1258" bestFit="1" customWidth="1"/>
    <col min="22" max="22" width="10.5703125" style="1258" bestFit="1" customWidth="1"/>
    <col min="23" max="16384" width="10" style="1258"/>
  </cols>
  <sheetData>
    <row r="1" spans="1:23" ht="12.75">
      <c r="A1" s="1258" t="s">
        <v>958</v>
      </c>
      <c r="R1" s="1260"/>
    </row>
    <row r="2" spans="1:23" ht="12.75">
      <c r="A2" s="1258" t="s">
        <v>959</v>
      </c>
      <c r="R2" s="1260"/>
      <c r="V2" s="1261"/>
    </row>
    <row r="3" spans="1:23" ht="12.75">
      <c r="A3" s="1258" t="s">
        <v>960</v>
      </c>
      <c r="R3" s="1260"/>
      <c r="V3" s="1262"/>
    </row>
    <row r="4" spans="1:23">
      <c r="A4" s="1258" t="s">
        <v>1071</v>
      </c>
      <c r="G4" s="1263"/>
    </row>
    <row r="5" spans="1:23">
      <c r="A5" s="1258" t="s">
        <v>961</v>
      </c>
      <c r="I5" s="1264"/>
      <c r="J5" s="1264"/>
      <c r="P5" s="1264"/>
      <c r="Q5" s="1264"/>
    </row>
    <row r="6" spans="1:23">
      <c r="J6" s="1264"/>
      <c r="K6" s="1265"/>
      <c r="L6" s="1259"/>
      <c r="M6" s="1259"/>
      <c r="N6" s="1259"/>
      <c r="O6" s="1259"/>
      <c r="P6" s="1259"/>
      <c r="Q6" s="1259"/>
    </row>
    <row r="7" spans="1:23">
      <c r="B7" s="1266"/>
      <c r="C7" s="1266"/>
      <c r="D7" s="1266"/>
      <c r="E7" s="1266"/>
      <c r="F7" s="1266"/>
      <c r="G7" s="1266"/>
      <c r="H7" s="1266"/>
      <c r="I7" s="1266"/>
      <c r="J7" s="1266"/>
      <c r="K7" s="1266"/>
      <c r="L7" s="1266"/>
      <c r="M7" s="1266"/>
      <c r="N7" s="1266"/>
      <c r="O7" s="1266"/>
      <c r="P7" s="1266"/>
      <c r="Q7" s="1259"/>
    </row>
    <row r="8" spans="1:23">
      <c r="A8" s="1259" t="s">
        <v>149</v>
      </c>
      <c r="B8" s="1259" t="s">
        <v>150</v>
      </c>
      <c r="C8" s="1259" t="s">
        <v>151</v>
      </c>
      <c r="D8" s="1259" t="s">
        <v>152</v>
      </c>
      <c r="E8" s="1259" t="s">
        <v>153</v>
      </c>
      <c r="F8" s="1259" t="s">
        <v>154</v>
      </c>
      <c r="G8" s="1259" t="s">
        <v>155</v>
      </c>
      <c r="H8" s="1259" t="s">
        <v>156</v>
      </c>
      <c r="I8" s="1259" t="s">
        <v>962</v>
      </c>
      <c r="J8" s="1259" t="s">
        <v>963</v>
      </c>
      <c r="K8" s="1259" t="s">
        <v>159</v>
      </c>
      <c r="L8" s="1259" t="s">
        <v>160</v>
      </c>
      <c r="M8" s="1259" t="s">
        <v>161</v>
      </c>
      <c r="N8" s="1259" t="s">
        <v>246</v>
      </c>
      <c r="O8" s="1259" t="s">
        <v>305</v>
      </c>
      <c r="P8" s="1259" t="s">
        <v>351</v>
      </c>
      <c r="Q8" s="1259" t="s">
        <v>352</v>
      </c>
      <c r="R8" s="1259" t="s">
        <v>353</v>
      </c>
    </row>
    <row r="9" spans="1:23" ht="14.45" customHeight="1">
      <c r="A9" s="1258" t="s">
        <v>964</v>
      </c>
      <c r="B9" s="3"/>
      <c r="C9" s="3"/>
      <c r="D9" s="3"/>
      <c r="E9" s="3"/>
      <c r="I9" s="1567" t="s">
        <v>1072</v>
      </c>
      <c r="J9" s="1567"/>
      <c r="K9" s="1568" t="s">
        <v>965</v>
      </c>
      <c r="L9" s="1568"/>
      <c r="M9" s="1568"/>
      <c r="N9" s="1569" t="s">
        <v>966</v>
      </c>
      <c r="O9" s="1569"/>
      <c r="P9" s="1567" t="s">
        <v>1073</v>
      </c>
      <c r="Q9" s="1567"/>
    </row>
    <row r="10" spans="1:23" ht="48">
      <c r="A10" s="1267" t="s">
        <v>967</v>
      </c>
      <c r="B10" s="1268" t="s">
        <v>968</v>
      </c>
      <c r="C10" s="1268" t="s">
        <v>969</v>
      </c>
      <c r="D10" s="1269" t="s">
        <v>970</v>
      </c>
      <c r="E10" s="1269" t="s">
        <v>971</v>
      </c>
      <c r="F10" s="1269" t="s">
        <v>972</v>
      </c>
      <c r="G10" s="1269" t="s">
        <v>973</v>
      </c>
      <c r="H10" s="1269" t="s">
        <v>974</v>
      </c>
      <c r="I10" s="1323" t="s">
        <v>975</v>
      </c>
      <c r="J10" s="1323" t="s">
        <v>976</v>
      </c>
      <c r="K10" s="1270" t="s">
        <v>977</v>
      </c>
      <c r="L10" s="1270">
        <v>182.3</v>
      </c>
      <c r="M10" s="1270">
        <v>254</v>
      </c>
      <c r="N10" s="1270" t="s">
        <v>978</v>
      </c>
      <c r="O10" s="1270" t="s">
        <v>979</v>
      </c>
      <c r="P10" s="1323" t="s">
        <v>975</v>
      </c>
      <c r="Q10" s="1323" t="s">
        <v>976</v>
      </c>
      <c r="R10" s="1271" t="s">
        <v>980</v>
      </c>
      <c r="S10" s="1272"/>
    </row>
    <row r="11" spans="1:23">
      <c r="B11" s="1258"/>
      <c r="D11" s="1322"/>
      <c r="E11" s="1322"/>
      <c r="F11" s="1322"/>
      <c r="G11" s="1322"/>
      <c r="H11" s="1322"/>
      <c r="I11" s="1273"/>
      <c r="J11" s="1273"/>
      <c r="K11" s="1273"/>
      <c r="L11" s="1273"/>
      <c r="M11" s="1273"/>
      <c r="N11" s="1273"/>
      <c r="O11" s="1273"/>
      <c r="P11" s="1570" t="s">
        <v>981</v>
      </c>
      <c r="Q11" s="1570"/>
      <c r="R11" s="1274">
        <f>+Q14+P15</f>
        <v>0</v>
      </c>
      <c r="S11" s="1272"/>
    </row>
    <row r="12" spans="1:23">
      <c r="B12" s="1275" t="s">
        <v>982</v>
      </c>
      <c r="C12" s="1276"/>
      <c r="D12" s="1276"/>
      <c r="E12" s="1276"/>
      <c r="F12" s="1276"/>
      <c r="G12" s="1276"/>
      <c r="H12" s="1276"/>
      <c r="I12" s="1276"/>
      <c r="J12" s="1276"/>
      <c r="K12" s="1276"/>
      <c r="L12" s="1276"/>
      <c r="M12" s="1276"/>
      <c r="N12" s="1276"/>
      <c r="O12" s="1276"/>
      <c r="P12" s="1276"/>
      <c r="Q12" s="1276"/>
      <c r="R12" s="1262"/>
      <c r="S12" s="1277"/>
      <c r="T12" s="1262"/>
      <c r="U12" s="1262"/>
      <c r="V12" s="1262"/>
      <c r="W12" s="1262"/>
    </row>
    <row r="13" spans="1:23">
      <c r="A13" s="1258" t="s">
        <v>983</v>
      </c>
      <c r="B13" s="1278" t="s">
        <v>1052</v>
      </c>
      <c r="C13" s="1258" t="s">
        <v>984</v>
      </c>
      <c r="D13" s="1279" t="s">
        <v>985</v>
      </c>
      <c r="E13" s="1279" t="s">
        <v>986</v>
      </c>
      <c r="F13" s="1280"/>
      <c r="G13" s="1279"/>
      <c r="H13" s="1279"/>
      <c r="I13" s="1324"/>
      <c r="J13" s="1325"/>
      <c r="K13" s="1324"/>
      <c r="L13" s="1324"/>
      <c r="M13" s="1324"/>
      <c r="N13" s="1324"/>
      <c r="O13" s="1324"/>
      <c r="P13" s="1326">
        <f>SUM(I13:O13)</f>
        <v>0</v>
      </c>
      <c r="Q13" s="1281"/>
      <c r="R13" s="1282" t="s">
        <v>1053</v>
      </c>
      <c r="S13" s="1277"/>
      <c r="T13" s="1262"/>
      <c r="U13" s="1262"/>
      <c r="V13" s="1262"/>
      <c r="W13" s="1262"/>
    </row>
    <row r="14" spans="1:23" s="1279" customFormat="1">
      <c r="A14" s="1279" t="s">
        <v>987</v>
      </c>
      <c r="B14" s="1278" t="s">
        <v>1054</v>
      </c>
      <c r="C14" s="1283" t="s">
        <v>988</v>
      </c>
      <c r="D14" s="1283" t="s">
        <v>989</v>
      </c>
      <c r="E14" s="1279" t="s">
        <v>986</v>
      </c>
      <c r="F14" s="1284">
        <v>-11772442</v>
      </c>
      <c r="G14" s="1285" t="s">
        <v>990</v>
      </c>
      <c r="H14" s="1285" t="s">
        <v>991</v>
      </c>
      <c r="I14" s="1281"/>
      <c r="J14" s="1282"/>
      <c r="K14" s="1327"/>
      <c r="L14" s="1327"/>
      <c r="M14" s="1327"/>
      <c r="N14" s="1327"/>
      <c r="O14" s="1327"/>
      <c r="P14" s="1281"/>
      <c r="Q14" s="1326">
        <f>SUM(J14:P14)</f>
        <v>0</v>
      </c>
      <c r="R14" s="1282"/>
      <c r="S14" s="1277"/>
      <c r="T14" s="1286"/>
      <c r="U14" s="1286"/>
      <c r="V14" s="1286"/>
      <c r="W14" s="1286"/>
    </row>
    <row r="15" spans="1:23" s="1279" customFormat="1">
      <c r="A15" s="1279" t="s">
        <v>992</v>
      </c>
      <c r="B15" s="1278" t="s">
        <v>1055</v>
      </c>
      <c r="C15" s="1283" t="s">
        <v>993</v>
      </c>
      <c r="D15" s="1283" t="s">
        <v>989</v>
      </c>
      <c r="E15" s="1279" t="s">
        <v>986</v>
      </c>
      <c r="F15" s="1280"/>
      <c r="I15" s="1282"/>
      <c r="J15" s="1281"/>
      <c r="K15" s="1327"/>
      <c r="L15" s="1327"/>
      <c r="M15" s="1327"/>
      <c r="N15" s="1327"/>
      <c r="O15" s="1327"/>
      <c r="P15" s="1326">
        <f>SUM(I15:O15)</f>
        <v>0</v>
      </c>
      <c r="Q15" s="1328"/>
      <c r="R15" s="1282" t="s">
        <v>994</v>
      </c>
      <c r="S15" s="1277"/>
      <c r="T15" s="1286"/>
      <c r="U15" s="1286"/>
      <c r="V15" s="1286"/>
      <c r="W15" s="1286"/>
    </row>
    <row r="16" spans="1:23">
      <c r="A16" s="1258" t="s">
        <v>995</v>
      </c>
      <c r="B16" s="1278" t="s">
        <v>1056</v>
      </c>
      <c r="C16" s="1258" t="s">
        <v>996</v>
      </c>
      <c r="D16" s="1279" t="s">
        <v>989</v>
      </c>
      <c r="E16" s="1279" t="s">
        <v>986</v>
      </c>
      <c r="F16" s="1287">
        <v>-410365997</v>
      </c>
      <c r="G16" s="1285" t="s">
        <v>990</v>
      </c>
      <c r="H16" s="1285" t="s">
        <v>991</v>
      </c>
      <c r="I16" s="1281"/>
      <c r="J16" s="1288"/>
      <c r="K16" s="1288"/>
      <c r="L16" s="1288"/>
      <c r="M16" s="1288"/>
      <c r="N16" s="1288"/>
      <c r="O16" s="1288"/>
      <c r="P16" s="1281"/>
      <c r="Q16" s="1289">
        <f>SUM(J16:O16)</f>
        <v>0</v>
      </c>
      <c r="R16" s="1565" t="s">
        <v>1057</v>
      </c>
      <c r="S16" s="1277"/>
      <c r="T16" s="1262"/>
      <c r="U16" s="1262"/>
      <c r="V16" s="1262"/>
      <c r="W16" s="1262"/>
    </row>
    <row r="17" spans="1:23">
      <c r="A17" s="1258" t="s">
        <v>997</v>
      </c>
      <c r="B17" s="1278" t="s">
        <v>1056</v>
      </c>
      <c r="C17" s="1258" t="s">
        <v>996</v>
      </c>
      <c r="D17" s="1279" t="s">
        <v>998</v>
      </c>
      <c r="E17" s="1279" t="s">
        <v>986</v>
      </c>
      <c r="F17" s="1290">
        <v>-148924633</v>
      </c>
      <c r="G17" s="1285" t="s">
        <v>999</v>
      </c>
      <c r="H17" s="1285" t="s">
        <v>1000</v>
      </c>
      <c r="I17" s="1281"/>
      <c r="J17" s="1327"/>
      <c r="K17" s="1327"/>
      <c r="L17" s="1327"/>
      <c r="M17" s="1327"/>
      <c r="N17" s="1327"/>
      <c r="O17" s="1327"/>
      <c r="P17" s="1281"/>
      <c r="Q17" s="1329">
        <f>SUM(J17:O17)</f>
        <v>0</v>
      </c>
      <c r="R17" s="1565"/>
      <c r="S17" s="1277"/>
      <c r="T17" s="1262"/>
      <c r="U17" s="1262"/>
      <c r="V17" s="1262"/>
      <c r="W17" s="1262"/>
    </row>
    <row r="18" spans="1:23">
      <c r="A18" s="1258" t="s">
        <v>1001</v>
      </c>
      <c r="B18" s="1278" t="s">
        <v>1058</v>
      </c>
      <c r="C18" s="1258" t="s">
        <v>1002</v>
      </c>
      <c r="D18" s="1279" t="s">
        <v>989</v>
      </c>
      <c r="E18" s="1279" t="s">
        <v>986</v>
      </c>
      <c r="F18" s="1290"/>
      <c r="G18" s="1285"/>
      <c r="H18" s="1285"/>
      <c r="I18" s="1327"/>
      <c r="J18" s="1281"/>
      <c r="K18" s="1327"/>
      <c r="L18" s="1327"/>
      <c r="M18" s="1327"/>
      <c r="N18" s="1327"/>
      <c r="O18" s="1327"/>
      <c r="P18" s="1330">
        <f>SUM(I18:O18)</f>
        <v>0</v>
      </c>
      <c r="Q18" s="1281"/>
      <c r="R18" s="1571" t="s">
        <v>1059</v>
      </c>
      <c r="S18" s="1277"/>
      <c r="T18" s="1262"/>
      <c r="U18" s="1262"/>
      <c r="V18" s="1262"/>
      <c r="W18" s="1262"/>
    </row>
    <row r="19" spans="1:23">
      <c r="A19" s="1258" t="s">
        <v>1003</v>
      </c>
      <c r="B19" s="1278" t="s">
        <v>1058</v>
      </c>
      <c r="C19" s="1258" t="s">
        <v>1002</v>
      </c>
      <c r="D19" s="1279" t="s">
        <v>998</v>
      </c>
      <c r="E19" s="1279" t="s">
        <v>986</v>
      </c>
      <c r="F19" s="1290"/>
      <c r="G19" s="1285"/>
      <c r="H19" s="1285"/>
      <c r="I19" s="1327"/>
      <c r="J19" s="1281"/>
      <c r="K19" s="1327"/>
      <c r="L19" s="1327"/>
      <c r="M19" s="1327"/>
      <c r="N19" s="1327"/>
      <c r="O19" s="1327"/>
      <c r="P19" s="1330">
        <f>SUM(I19:O19)</f>
        <v>0</v>
      </c>
      <c r="Q19" s="1281"/>
      <c r="R19" s="1571"/>
      <c r="S19" s="1277"/>
      <c r="T19" s="1262"/>
      <c r="U19" s="1262"/>
      <c r="V19" s="1262"/>
      <c r="W19" s="1262"/>
    </row>
    <row r="20" spans="1:23">
      <c r="A20" s="1258" t="s">
        <v>1004</v>
      </c>
      <c r="B20" s="1278" t="s">
        <v>1060</v>
      </c>
      <c r="C20" s="1258" t="s">
        <v>1005</v>
      </c>
      <c r="D20" s="1279" t="s">
        <v>998</v>
      </c>
      <c r="E20" s="1279" t="s">
        <v>986</v>
      </c>
      <c r="F20" s="1290">
        <v>-5353470</v>
      </c>
      <c r="G20" s="1285" t="s">
        <v>999</v>
      </c>
      <c r="H20" s="1285" t="s">
        <v>1000</v>
      </c>
      <c r="I20" s="1281"/>
      <c r="J20" s="1327"/>
      <c r="K20" s="1327"/>
      <c r="L20" s="1327"/>
      <c r="M20" s="1327"/>
      <c r="N20" s="1327"/>
      <c r="O20" s="1327"/>
      <c r="P20" s="1331" t="s">
        <v>115</v>
      </c>
      <c r="Q20" s="1329">
        <f>SUM(J20:O20)</f>
        <v>0</v>
      </c>
      <c r="R20" s="1282" t="s">
        <v>1061</v>
      </c>
      <c r="S20" s="1277"/>
      <c r="T20" s="1262"/>
      <c r="U20" s="1262"/>
      <c r="V20" s="1262"/>
      <c r="W20" s="1262"/>
    </row>
    <row r="21" spans="1:23">
      <c r="A21" s="1258" t="s">
        <v>1006</v>
      </c>
      <c r="B21" s="1291" t="s">
        <v>1062</v>
      </c>
      <c r="C21" s="1258" t="s">
        <v>1007</v>
      </c>
      <c r="D21" s="1279" t="s">
        <v>998</v>
      </c>
      <c r="E21" s="1279" t="s">
        <v>986</v>
      </c>
      <c r="F21" s="1287"/>
      <c r="G21" s="1285"/>
      <c r="H21" s="1285"/>
      <c r="I21" s="1327"/>
      <c r="J21" s="1332"/>
      <c r="K21" s="1327"/>
      <c r="L21" s="1327"/>
      <c r="M21" s="1327"/>
      <c r="N21" s="1327"/>
      <c r="O21" s="1327"/>
      <c r="P21" s="1330">
        <f>SUM(I21:O21)</f>
        <v>0</v>
      </c>
      <c r="Q21" s="1331"/>
      <c r="R21" s="1292" t="s">
        <v>1063</v>
      </c>
      <c r="S21" s="1277"/>
      <c r="T21" s="1262"/>
      <c r="U21" s="1262"/>
      <c r="V21" s="1262"/>
      <c r="W21" s="1262"/>
    </row>
    <row r="22" spans="1:23">
      <c r="A22" s="1258" t="s">
        <v>1008</v>
      </c>
      <c r="B22" s="1293" t="s">
        <v>1009</v>
      </c>
      <c r="D22" s="1279"/>
      <c r="E22" s="1279"/>
      <c r="F22" s="1287"/>
      <c r="G22" s="1285"/>
      <c r="H22" s="1285"/>
      <c r="I22" s="1327"/>
      <c r="J22" s="1327"/>
      <c r="K22" s="1327"/>
      <c r="L22" s="1327"/>
      <c r="M22" s="1327"/>
      <c r="N22" s="1327"/>
      <c r="O22" s="1327"/>
      <c r="P22" s="1328"/>
      <c r="Q22" s="1330"/>
      <c r="R22" s="1292"/>
      <c r="S22" s="1277"/>
      <c r="T22" s="1262"/>
      <c r="U22" s="1262"/>
      <c r="V22" s="1262"/>
      <c r="W22" s="1262"/>
    </row>
    <row r="23" spans="1:23" ht="12.75">
      <c r="B23" s="1294"/>
      <c r="C23" s="1294"/>
      <c r="D23" s="1294"/>
      <c r="E23" s="1294"/>
      <c r="F23" s="1294"/>
      <c r="G23" s="1294"/>
      <c r="H23" s="1294"/>
      <c r="I23" s="1294"/>
      <c r="J23" s="1294"/>
      <c r="K23" s="1294"/>
      <c r="L23" s="1294"/>
      <c r="M23" s="1294"/>
      <c r="N23"/>
      <c r="O23"/>
      <c r="P23" s="1295"/>
      <c r="Q23"/>
      <c r="R23"/>
      <c r="S23" s="1277"/>
      <c r="T23" s="1262"/>
      <c r="U23" s="1262"/>
      <c r="V23" s="1262"/>
      <c r="W23" s="1262"/>
    </row>
    <row r="24" spans="1:23" s="1262" customFormat="1">
      <c r="A24" s="1258"/>
      <c r="B24" s="1275" t="s">
        <v>1010</v>
      </c>
      <c r="Q24" s="1277"/>
      <c r="R24" s="1296"/>
      <c r="S24" s="1277"/>
    </row>
    <row r="25" spans="1:23" ht="11.45" customHeight="1">
      <c r="A25" s="1258" t="s">
        <v>1011</v>
      </c>
      <c r="B25" s="1297">
        <v>182.3</v>
      </c>
      <c r="C25" s="1298" t="s">
        <v>1012</v>
      </c>
      <c r="D25" s="1281" t="s">
        <v>115</v>
      </c>
      <c r="E25" s="1279" t="s">
        <v>986</v>
      </c>
      <c r="F25" s="1281"/>
      <c r="G25" s="1281" t="s">
        <v>115</v>
      </c>
      <c r="H25" s="1281"/>
      <c r="I25" s="1333"/>
      <c r="J25" s="1281"/>
      <c r="K25" s="1327"/>
      <c r="L25" s="1327"/>
      <c r="M25" s="1327"/>
      <c r="N25" s="1281"/>
      <c r="O25" s="1281"/>
      <c r="P25" s="1328">
        <f>SUM(I25:O25)</f>
        <v>0</v>
      </c>
      <c r="Q25" s="1299"/>
      <c r="R25" s="1282" t="s">
        <v>1013</v>
      </c>
      <c r="S25" s="1277"/>
      <c r="T25" s="1262"/>
      <c r="U25" s="1262"/>
      <c r="V25" s="1262"/>
      <c r="W25" s="1262"/>
    </row>
    <row r="26" spans="1:23" ht="11.45" customHeight="1">
      <c r="A26" s="1258" t="s">
        <v>1014</v>
      </c>
      <c r="B26" s="1297">
        <v>254</v>
      </c>
      <c r="C26" s="1298" t="s">
        <v>1015</v>
      </c>
      <c r="D26" s="1281" t="s">
        <v>115</v>
      </c>
      <c r="E26" s="1279" t="s">
        <v>986</v>
      </c>
      <c r="F26" s="1281"/>
      <c r="G26" s="1281" t="s">
        <v>115</v>
      </c>
      <c r="H26" s="1281"/>
      <c r="I26" s="1333"/>
      <c r="J26" s="1281"/>
      <c r="K26" s="1327"/>
      <c r="L26" s="1327"/>
      <c r="M26" s="1327"/>
      <c r="N26" s="1281"/>
      <c r="O26" s="1281"/>
      <c r="P26" s="1328">
        <f>SUM(I26:O26)</f>
        <v>0</v>
      </c>
      <c r="Q26" s="1299"/>
      <c r="R26" s="1282" t="s">
        <v>1016</v>
      </c>
      <c r="S26" s="1277"/>
      <c r="T26" s="1262"/>
      <c r="U26" s="1262"/>
      <c r="V26" s="1262"/>
      <c r="W26" s="1262"/>
    </row>
    <row r="27" spans="1:23" ht="11.45" customHeight="1">
      <c r="A27" s="1258" t="s">
        <v>1017</v>
      </c>
      <c r="B27" s="1293" t="s">
        <v>1009</v>
      </c>
      <c r="C27" s="1298"/>
      <c r="D27" s="1281"/>
      <c r="E27" s="1279"/>
      <c r="F27" s="1281"/>
      <c r="G27" s="1281"/>
      <c r="H27" s="1281"/>
      <c r="I27" s="1327"/>
      <c r="J27" s="1281"/>
      <c r="K27" s="1327"/>
      <c r="L27" s="1327"/>
      <c r="M27" s="1327"/>
      <c r="N27" s="1281"/>
      <c r="O27" s="1281"/>
      <c r="P27" s="1299"/>
      <c r="Q27" s="1299"/>
      <c r="R27" s="1282"/>
      <c r="S27" s="1277"/>
      <c r="T27" s="1262"/>
      <c r="U27" s="1262"/>
      <c r="V27" s="1262"/>
      <c r="W27" s="1262"/>
    </row>
    <row r="28" spans="1:23">
      <c r="B28" s="1297"/>
      <c r="C28" s="1298"/>
      <c r="D28" s="1266"/>
      <c r="E28" s="1266"/>
      <c r="F28" s="1266"/>
      <c r="G28" s="1266"/>
      <c r="H28" s="1266"/>
      <c r="I28" s="1266"/>
      <c r="J28" s="1266"/>
      <c r="K28" s="1266"/>
      <c r="L28" s="1266"/>
      <c r="M28" s="1266"/>
      <c r="N28" s="1266"/>
      <c r="O28" s="1266"/>
      <c r="P28" s="1266"/>
      <c r="Q28" s="1266"/>
      <c r="R28" s="1300"/>
      <c r="S28" s="1277"/>
      <c r="T28" s="1262"/>
      <c r="U28" s="1262"/>
      <c r="V28" s="1262"/>
      <c r="W28" s="1262"/>
    </row>
    <row r="29" spans="1:23" ht="12.75" thickBot="1">
      <c r="A29" s="1301">
        <v>3</v>
      </c>
      <c r="B29" s="1566" t="str">
        <f>"Total For Accounting Entires (Sum of Lines "&amp;A13&amp;" through "&amp;A26&amp;")"</f>
        <v>Total For Accounting Entires (Sum of Lines 1a through 2b)</v>
      </c>
      <c r="C29" s="1566"/>
      <c r="D29" s="1281"/>
      <c r="E29" s="1281"/>
      <c r="F29" s="1281"/>
      <c r="G29" s="1281"/>
      <c r="H29" s="1281"/>
      <c r="I29" s="1334">
        <f>SUM(I13:I28)</f>
        <v>0</v>
      </c>
      <c r="J29" s="1335">
        <f>SUM(J13:J28)</f>
        <v>0</v>
      </c>
      <c r="K29" s="1336">
        <f>SUM(K13:K28)</f>
        <v>0</v>
      </c>
      <c r="L29" s="1336">
        <f>SUM(L13:L28)</f>
        <v>0</v>
      </c>
      <c r="M29" s="1336">
        <f>SUM(M13:M28)</f>
        <v>0</v>
      </c>
      <c r="N29" s="1337">
        <f>-SUM(N13:N28)</f>
        <v>0</v>
      </c>
      <c r="O29" s="1335">
        <f>-SUM(O13:O28)</f>
        <v>0</v>
      </c>
      <c r="P29" s="1336">
        <f>SUM(P13:P28)</f>
        <v>0</v>
      </c>
      <c r="Q29" s="1335">
        <f>SUM(Q13:Q28)</f>
        <v>0</v>
      </c>
      <c r="R29" s="1302"/>
      <c r="S29" s="1277"/>
      <c r="T29" s="1262"/>
      <c r="U29" s="1262"/>
      <c r="V29" s="1262"/>
      <c r="W29" s="1262"/>
    </row>
    <row r="30" spans="1:23" ht="12.75" thickTop="1">
      <c r="B30" s="1297"/>
      <c r="C30" s="1298"/>
      <c r="D30" s="1266"/>
      <c r="E30" s="1266"/>
      <c r="F30" s="1266"/>
      <c r="G30" s="1266"/>
      <c r="H30" s="1266"/>
      <c r="I30" s="1303"/>
      <c r="J30" s="1290"/>
      <c r="K30" s="1304"/>
      <c r="L30" s="1304"/>
      <c r="M30" s="1304"/>
      <c r="N30" s="1338" t="s">
        <v>1018</v>
      </c>
      <c r="O30" s="1338"/>
      <c r="P30" s="1304"/>
      <c r="Q30" s="1305"/>
      <c r="R30" s="1302"/>
      <c r="S30" s="1277"/>
      <c r="T30" s="1262"/>
      <c r="U30" s="1262"/>
      <c r="V30" s="1262"/>
      <c r="W30" s="1262"/>
    </row>
    <row r="31" spans="1:23">
      <c r="A31" s="1293" t="s">
        <v>1019</v>
      </c>
      <c r="B31" s="1297"/>
      <c r="C31" s="1298"/>
      <c r="D31" s="1266"/>
      <c r="E31" s="1266"/>
      <c r="F31" s="1266"/>
      <c r="G31" s="1266"/>
      <c r="H31" s="1266"/>
      <c r="I31" s="1303"/>
      <c r="J31" s="1290"/>
      <c r="K31" s="1304"/>
      <c r="L31" s="1304"/>
      <c r="M31" s="1304"/>
      <c r="N31" s="1290"/>
      <c r="O31" s="1290"/>
      <c r="P31" s="1304"/>
      <c r="Q31" s="1305"/>
      <c r="R31" s="1302"/>
      <c r="S31" s="1277"/>
      <c r="T31" s="1262"/>
      <c r="U31" s="1262"/>
      <c r="V31" s="1262"/>
      <c r="W31" s="1262"/>
    </row>
    <row r="32" spans="1:23">
      <c r="B32" s="1258"/>
      <c r="D32" s="1322"/>
      <c r="E32" s="1322"/>
      <c r="F32" s="1322"/>
      <c r="G32" s="1322"/>
      <c r="H32" s="1322"/>
      <c r="I32" s="1273"/>
      <c r="J32" s="1273"/>
      <c r="K32" s="1273"/>
      <c r="L32" s="1273"/>
      <c r="M32" s="1273"/>
      <c r="N32" s="1273"/>
      <c r="O32" s="1273"/>
      <c r="P32" s="1570" t="s">
        <v>981</v>
      </c>
      <c r="Q32" s="1570"/>
      <c r="R32" s="1271"/>
      <c r="S32" s="1277"/>
      <c r="T32" s="1262"/>
      <c r="U32" s="1262"/>
      <c r="V32" s="1262"/>
      <c r="W32" s="1262"/>
    </row>
    <row r="33" spans="1:23">
      <c r="B33" s="1275" t="s">
        <v>982</v>
      </c>
      <c r="C33" s="1276"/>
      <c r="D33" s="1276"/>
      <c r="E33" s="1276"/>
      <c r="F33" s="1276"/>
      <c r="G33" s="1276"/>
      <c r="H33" s="1276"/>
      <c r="I33" s="1276"/>
      <c r="J33" s="1276"/>
      <c r="K33" s="1276"/>
      <c r="L33" s="1276"/>
      <c r="M33" s="1276"/>
      <c r="N33" s="1276"/>
      <c r="O33" s="1276"/>
      <c r="P33" s="1276"/>
      <c r="Q33" s="1276"/>
      <c r="R33" s="1262"/>
      <c r="S33" s="1277"/>
      <c r="T33" s="1262"/>
      <c r="U33" s="1262"/>
      <c r="V33" s="1262"/>
      <c r="W33" s="1262"/>
    </row>
    <row r="34" spans="1:23">
      <c r="A34" s="1258" t="s">
        <v>1020</v>
      </c>
      <c r="B34" s="1278" t="s">
        <v>1052</v>
      </c>
      <c r="C34" s="1258" t="s">
        <v>984</v>
      </c>
      <c r="D34" s="1279" t="s">
        <v>985</v>
      </c>
      <c r="E34" s="1279" t="s">
        <v>986</v>
      </c>
      <c r="F34" s="1280"/>
      <c r="G34" s="1279"/>
      <c r="H34" s="1279"/>
      <c r="I34" s="1327"/>
      <c r="J34" s="1332"/>
      <c r="K34" s="1327"/>
      <c r="L34" s="1327"/>
      <c r="M34" s="1327"/>
      <c r="N34" s="1327"/>
      <c r="O34" s="1327"/>
      <c r="P34" s="1330">
        <f>SUM(I34:O34)</f>
        <v>0</v>
      </c>
      <c r="Q34" s="1281"/>
      <c r="R34" s="1282" t="s">
        <v>628</v>
      </c>
      <c r="S34" s="1277"/>
      <c r="T34" s="1262"/>
      <c r="U34" s="1262"/>
      <c r="V34" s="1262"/>
      <c r="W34" s="1262"/>
    </row>
    <row r="35" spans="1:23">
      <c r="A35" s="1258" t="s">
        <v>1021</v>
      </c>
      <c r="B35" s="1278" t="s">
        <v>1056</v>
      </c>
      <c r="C35" s="1258" t="s">
        <v>996</v>
      </c>
      <c r="D35" s="1279" t="s">
        <v>989</v>
      </c>
      <c r="E35" s="1279" t="s">
        <v>986</v>
      </c>
      <c r="F35" s="1287">
        <v>-82304124</v>
      </c>
      <c r="G35" s="1285" t="s">
        <v>990</v>
      </c>
      <c r="H35" s="1285" t="s">
        <v>991</v>
      </c>
      <c r="I35" s="1281"/>
      <c r="J35" s="1327"/>
      <c r="K35" s="1327"/>
      <c r="L35" s="1327"/>
      <c r="M35" s="1327"/>
      <c r="N35" s="1327"/>
      <c r="O35" s="1327"/>
      <c r="P35" s="1281"/>
      <c r="Q35" s="1329">
        <f>SUM(J35:O35)</f>
        <v>0</v>
      </c>
      <c r="R35" s="1565" t="s">
        <v>1064</v>
      </c>
      <c r="S35" s="1277"/>
      <c r="T35" s="1262"/>
      <c r="U35" s="1262"/>
      <c r="V35" s="1262"/>
      <c r="W35" s="1262"/>
    </row>
    <row r="36" spans="1:23">
      <c r="A36" s="1258" t="s">
        <v>1022</v>
      </c>
      <c r="B36" s="1278" t="s">
        <v>1056</v>
      </c>
      <c r="C36" s="1258" t="s">
        <v>996</v>
      </c>
      <c r="D36" s="1279" t="s">
        <v>998</v>
      </c>
      <c r="E36" s="1279" t="s">
        <v>986</v>
      </c>
      <c r="F36" s="1290">
        <v>-14907164</v>
      </c>
      <c r="G36" s="1285" t="s">
        <v>999</v>
      </c>
      <c r="H36" s="1285" t="s">
        <v>1000</v>
      </c>
      <c r="I36" s="1281"/>
      <c r="J36" s="1327"/>
      <c r="K36" s="1327"/>
      <c r="L36" s="1327"/>
      <c r="M36" s="1327"/>
      <c r="N36" s="1327"/>
      <c r="O36" s="1327"/>
      <c r="P36" s="1281"/>
      <c r="Q36" s="1329">
        <f>SUM(J36:O36)</f>
        <v>0</v>
      </c>
      <c r="R36" s="1565"/>
      <c r="S36" s="1277"/>
      <c r="T36" s="1262"/>
      <c r="U36" s="1262"/>
      <c r="V36" s="1262"/>
      <c r="W36" s="1262"/>
    </row>
    <row r="37" spans="1:23">
      <c r="A37" s="1258" t="s">
        <v>1023</v>
      </c>
      <c r="B37" s="1278" t="s">
        <v>1058</v>
      </c>
      <c r="C37" s="1258" t="s">
        <v>1002</v>
      </c>
      <c r="D37" s="1279" t="s">
        <v>989</v>
      </c>
      <c r="E37" s="1279" t="s">
        <v>986</v>
      </c>
      <c r="F37" s="1290"/>
      <c r="G37" s="1285"/>
      <c r="H37" s="1285"/>
      <c r="I37" s="1327"/>
      <c r="J37" s="1281"/>
      <c r="K37" s="1327"/>
      <c r="L37" s="1327"/>
      <c r="M37" s="1327"/>
      <c r="N37" s="1327"/>
      <c r="O37" s="1327"/>
      <c r="P37" s="1330">
        <f>SUM(I37:O37)</f>
        <v>0</v>
      </c>
      <c r="Q37" s="1281"/>
      <c r="R37" s="1571" t="s">
        <v>628</v>
      </c>
      <c r="S37" s="1277"/>
      <c r="T37" s="1262"/>
      <c r="U37" s="1262"/>
      <c r="V37" s="1262"/>
      <c r="W37" s="1262"/>
    </row>
    <row r="38" spans="1:23">
      <c r="A38" s="1258" t="s">
        <v>1024</v>
      </c>
      <c r="B38" s="1278" t="s">
        <v>1058</v>
      </c>
      <c r="C38" s="1258" t="s">
        <v>1002</v>
      </c>
      <c r="D38" s="1279" t="s">
        <v>998</v>
      </c>
      <c r="E38" s="1279" t="s">
        <v>986</v>
      </c>
      <c r="F38" s="1290"/>
      <c r="G38" s="1285"/>
      <c r="H38" s="1285"/>
      <c r="I38" s="1327"/>
      <c r="J38" s="1281"/>
      <c r="K38" s="1327"/>
      <c r="L38" s="1327"/>
      <c r="M38" s="1327"/>
      <c r="N38" s="1327"/>
      <c r="O38" s="1327"/>
      <c r="P38" s="1330">
        <f>SUM(I38:O38)</f>
        <v>0</v>
      </c>
      <c r="Q38" s="1281"/>
      <c r="R38" s="1571"/>
      <c r="S38" s="1277"/>
      <c r="T38" s="1262"/>
      <c r="U38" s="1262"/>
      <c r="V38" s="1262"/>
      <c r="W38" s="1262"/>
    </row>
    <row r="39" spans="1:23">
      <c r="A39" s="1258" t="s">
        <v>1025</v>
      </c>
      <c r="B39" s="1278" t="s">
        <v>1060</v>
      </c>
      <c r="C39" s="1258" t="s">
        <v>1005</v>
      </c>
      <c r="D39" s="1279" t="s">
        <v>998</v>
      </c>
      <c r="E39" s="1279" t="s">
        <v>986</v>
      </c>
      <c r="F39" s="1290">
        <v>5174807</v>
      </c>
      <c r="G39" s="1285" t="s">
        <v>999</v>
      </c>
      <c r="H39" s="1285" t="s">
        <v>1000</v>
      </c>
      <c r="I39" s="1281"/>
      <c r="J39" s="1327"/>
      <c r="K39" s="1327"/>
      <c r="L39" s="1327"/>
      <c r="M39" s="1327"/>
      <c r="N39" s="1327"/>
      <c r="O39" s="1327"/>
      <c r="P39" s="1331" t="s">
        <v>115</v>
      </c>
      <c r="Q39" s="1329">
        <f>SUM(J39:O39)</f>
        <v>0</v>
      </c>
      <c r="R39" s="1292" t="s">
        <v>1065</v>
      </c>
      <c r="S39" s="1277"/>
      <c r="T39" s="1262"/>
      <c r="U39" s="1262"/>
      <c r="V39" s="1262"/>
      <c r="W39" s="1262"/>
    </row>
    <row r="40" spans="1:23">
      <c r="A40" s="1258" t="s">
        <v>1026</v>
      </c>
      <c r="B40" s="1291" t="s">
        <v>1062</v>
      </c>
      <c r="C40" s="1258" t="s">
        <v>1007</v>
      </c>
      <c r="D40" s="1279" t="s">
        <v>998</v>
      </c>
      <c r="E40" s="1279" t="s">
        <v>986</v>
      </c>
      <c r="F40" s="1287"/>
      <c r="G40" s="1285"/>
      <c r="H40" s="1285"/>
      <c r="I40" s="1327"/>
      <c r="J40" s="1332"/>
      <c r="K40" s="1327"/>
      <c r="L40" s="1327"/>
      <c r="M40" s="1327"/>
      <c r="N40" s="1327"/>
      <c r="O40" s="1327"/>
      <c r="P40" s="1330">
        <f>SUM(I40:O40)</f>
        <v>0</v>
      </c>
      <c r="Q40" s="1331"/>
      <c r="R40" s="1292" t="s">
        <v>628</v>
      </c>
      <c r="S40" s="1277"/>
      <c r="T40" s="1262"/>
      <c r="U40" s="1262"/>
      <c r="V40" s="1262"/>
      <c r="W40" s="1262"/>
    </row>
    <row r="41" spans="1:23">
      <c r="A41" s="1258" t="s">
        <v>1027</v>
      </c>
      <c r="B41" s="1293" t="s">
        <v>1009</v>
      </c>
      <c r="D41" s="1279"/>
      <c r="E41" s="1279"/>
      <c r="F41" s="1287"/>
      <c r="G41" s="1285"/>
      <c r="H41" s="1285"/>
      <c r="I41" s="1327"/>
      <c r="J41" s="1327"/>
      <c r="K41" s="1327"/>
      <c r="L41" s="1327"/>
      <c r="M41" s="1327"/>
      <c r="N41" s="1327"/>
      <c r="O41" s="1327"/>
      <c r="P41" s="1328"/>
      <c r="Q41" s="1330"/>
      <c r="R41" s="1292"/>
      <c r="S41" s="1262"/>
      <c r="T41" s="1262"/>
      <c r="U41" s="1262"/>
      <c r="V41" s="1262"/>
      <c r="W41" s="1262"/>
    </row>
    <row r="42" spans="1:23" ht="12.75">
      <c r="B42" s="1294"/>
      <c r="C42" s="1294"/>
      <c r="D42" s="1294"/>
      <c r="E42" s="1294"/>
      <c r="F42" s="1294"/>
      <c r="G42" s="1294"/>
      <c r="H42" s="1294"/>
      <c r="I42" s="1294"/>
      <c r="J42" s="1294"/>
      <c r="K42" s="1294"/>
      <c r="L42" s="1294"/>
      <c r="M42" s="1294"/>
      <c r="N42"/>
      <c r="O42"/>
      <c r="P42"/>
      <c r="Q42"/>
      <c r="R42"/>
      <c r="S42" s="1262"/>
      <c r="T42" s="1262"/>
      <c r="U42" s="1262"/>
      <c r="V42" s="1262"/>
      <c r="W42" s="1262"/>
    </row>
    <row r="43" spans="1:23">
      <c r="B43" s="1275" t="s">
        <v>1010</v>
      </c>
      <c r="C43" s="1262"/>
      <c r="D43" s="1262"/>
      <c r="E43" s="1262"/>
      <c r="F43" s="1262"/>
      <c r="G43" s="1262"/>
      <c r="H43" s="1262"/>
      <c r="I43" s="1262"/>
      <c r="J43" s="1262"/>
      <c r="K43" s="1262"/>
      <c r="L43" s="1262"/>
      <c r="M43" s="1262"/>
      <c r="N43" s="1262"/>
      <c r="O43" s="1262"/>
      <c r="P43" s="1262"/>
      <c r="Q43" s="1277"/>
      <c r="R43" s="1306"/>
      <c r="S43" s="1262"/>
      <c r="T43" s="1262"/>
      <c r="U43" s="1262"/>
      <c r="V43" s="1262"/>
      <c r="W43" s="1262"/>
    </row>
    <row r="44" spans="1:23">
      <c r="A44" s="1258" t="s">
        <v>611</v>
      </c>
      <c r="B44" s="1297">
        <v>182.3</v>
      </c>
      <c r="C44" s="1298" t="s">
        <v>1012</v>
      </c>
      <c r="D44" s="1281" t="s">
        <v>115</v>
      </c>
      <c r="E44" s="1279" t="s">
        <v>986</v>
      </c>
      <c r="F44" s="1281"/>
      <c r="G44" s="1281" t="s">
        <v>115</v>
      </c>
      <c r="H44" s="1281"/>
      <c r="I44" s="1333"/>
      <c r="J44" s="1281"/>
      <c r="K44" s="1327"/>
      <c r="L44" s="1327"/>
      <c r="M44" s="1327"/>
      <c r="N44" s="1281"/>
      <c r="O44" s="1281"/>
      <c r="P44" s="1328">
        <f>SUM(I44:O44)</f>
        <v>0</v>
      </c>
      <c r="Q44" s="1299"/>
      <c r="R44" s="1282" t="s">
        <v>1013</v>
      </c>
      <c r="S44" s="1262"/>
      <c r="T44" s="1262"/>
      <c r="U44" s="1262"/>
      <c r="V44" s="1262"/>
      <c r="W44" s="1262"/>
    </row>
    <row r="45" spans="1:23">
      <c r="A45" s="1258" t="s">
        <v>612</v>
      </c>
      <c r="B45" s="1297">
        <v>254</v>
      </c>
      <c r="C45" s="1298" t="s">
        <v>1015</v>
      </c>
      <c r="D45" s="1281" t="s">
        <v>115</v>
      </c>
      <c r="E45" s="1279" t="s">
        <v>986</v>
      </c>
      <c r="F45" s="1281"/>
      <c r="G45" s="1281" t="s">
        <v>115</v>
      </c>
      <c r="H45" s="1281"/>
      <c r="I45" s="1333"/>
      <c r="J45" s="1281"/>
      <c r="K45" s="1327"/>
      <c r="L45" s="1327"/>
      <c r="M45" s="1327"/>
      <c r="N45" s="1281"/>
      <c r="O45" s="1281"/>
      <c r="P45" s="1328">
        <f>SUM(I45:O45)</f>
        <v>0</v>
      </c>
      <c r="Q45" s="1299"/>
      <c r="R45" s="1282" t="s">
        <v>1013</v>
      </c>
      <c r="S45" s="1262"/>
      <c r="T45" s="1262"/>
      <c r="U45" s="1262"/>
      <c r="V45" s="1262"/>
      <c r="W45" s="1262"/>
    </row>
    <row r="46" spans="1:23">
      <c r="A46" s="1258" t="s">
        <v>1028</v>
      </c>
      <c r="B46" s="1293" t="s">
        <v>1009</v>
      </c>
      <c r="C46" s="1298"/>
      <c r="D46" s="1281"/>
      <c r="E46" s="1279"/>
      <c r="F46" s="1281"/>
      <c r="G46" s="1281"/>
      <c r="H46" s="1281"/>
      <c r="I46" s="1327"/>
      <c r="J46" s="1281"/>
      <c r="K46" s="1327"/>
      <c r="L46" s="1327"/>
      <c r="M46" s="1327"/>
      <c r="N46" s="1281"/>
      <c r="O46" s="1281"/>
      <c r="P46" s="1299"/>
      <c r="Q46" s="1299"/>
      <c r="R46" s="1282"/>
      <c r="S46" s="1262"/>
      <c r="T46" s="1262"/>
      <c r="U46" s="1262"/>
      <c r="V46" s="1262"/>
      <c r="W46" s="1262"/>
    </row>
    <row r="47" spans="1:23">
      <c r="B47" s="1297"/>
      <c r="C47" s="1298"/>
      <c r="D47" s="1266"/>
      <c r="E47" s="1266"/>
      <c r="F47" s="1266"/>
      <c r="G47" s="1266"/>
      <c r="H47" s="1266"/>
      <c r="I47" s="1266"/>
      <c r="J47" s="1266"/>
      <c r="K47" s="1266"/>
      <c r="L47" s="1266"/>
      <c r="M47" s="1266"/>
      <c r="N47" s="1307"/>
      <c r="O47" s="1266"/>
      <c r="P47" s="1266"/>
      <c r="Q47" s="1266"/>
      <c r="R47" s="1300"/>
      <c r="S47" s="1262"/>
      <c r="T47" s="1262"/>
      <c r="U47" s="1262"/>
      <c r="V47" s="1262"/>
      <c r="W47" s="1262"/>
    </row>
    <row r="48" spans="1:23" ht="12.75" thickBot="1">
      <c r="A48" s="1301">
        <v>6</v>
      </c>
      <c r="B48" s="1566" t="str">
        <f>"Total For Accounting Entires (Sum of Lines "&amp;A34&amp;" through "&amp;A45&amp;")"</f>
        <v>Total For Accounting Entires (Sum of Lines 4a through 5b)</v>
      </c>
      <c r="C48" s="1566"/>
      <c r="D48" s="1281"/>
      <c r="E48" s="1281"/>
      <c r="F48" s="1281"/>
      <c r="G48" s="1281"/>
      <c r="H48" s="1281"/>
      <c r="I48" s="1334">
        <f>SUM(I34:I47)</f>
        <v>0</v>
      </c>
      <c r="J48" s="1335">
        <f>SUM(J34:J47)</f>
        <v>0</v>
      </c>
      <c r="K48" s="1336">
        <f>SUM(K34:K47)</f>
        <v>0</v>
      </c>
      <c r="L48" s="1336">
        <f>SUM(L34:L47)</f>
        <v>0</v>
      </c>
      <c r="M48" s="1335">
        <f>SUM(M34:M47)</f>
        <v>0</v>
      </c>
      <c r="N48" s="1337">
        <f>-SUM(N34:N47)</f>
        <v>0</v>
      </c>
      <c r="O48" s="1335">
        <f>-SUM(O34:O47)</f>
        <v>0</v>
      </c>
      <c r="P48" s="1336">
        <f>SUM(P34:P47)</f>
        <v>0</v>
      </c>
      <c r="Q48" s="1335">
        <f>SUM(Q34:Q47)</f>
        <v>0</v>
      </c>
      <c r="R48" s="1302"/>
      <c r="S48" s="1262"/>
      <c r="T48" s="1262"/>
      <c r="U48" s="1262"/>
      <c r="V48" s="1262"/>
      <c r="W48" s="1262"/>
    </row>
    <row r="49" spans="1:23" ht="12.75" thickTop="1">
      <c r="B49" s="1297"/>
      <c r="C49" s="1298"/>
      <c r="D49" s="1266"/>
      <c r="E49" s="1266"/>
      <c r="F49" s="1266"/>
      <c r="G49" s="1266"/>
      <c r="H49" s="1266"/>
      <c r="I49" s="1303"/>
      <c r="J49" s="1290"/>
      <c r="K49" s="1304"/>
      <c r="L49" s="1304"/>
      <c r="M49" s="1304"/>
      <c r="N49" s="1338" t="s">
        <v>1018</v>
      </c>
      <c r="O49" s="1290"/>
      <c r="P49" s="1304"/>
      <c r="Q49" s="1305"/>
      <c r="R49" s="1302"/>
      <c r="S49" s="1262"/>
      <c r="T49" s="1262"/>
      <c r="U49" s="1262"/>
      <c r="V49" s="1262"/>
      <c r="W49" s="1262"/>
    </row>
    <row r="50" spans="1:23">
      <c r="B50" s="1297"/>
      <c r="C50" s="1298"/>
      <c r="D50" s="1266"/>
      <c r="E50" s="1266"/>
      <c r="F50" s="1266"/>
      <c r="G50" s="1266"/>
      <c r="H50" s="1266"/>
      <c r="I50" s="1303"/>
      <c r="J50" s="1290"/>
      <c r="K50" s="1304"/>
      <c r="L50" s="1304"/>
      <c r="M50" s="1304"/>
      <c r="N50" s="1290"/>
      <c r="O50" s="1290"/>
      <c r="P50" s="1304"/>
      <c r="Q50" s="1305"/>
      <c r="R50" s="1302"/>
      <c r="S50" s="1262"/>
      <c r="T50" s="1262"/>
      <c r="U50" s="1262"/>
      <c r="V50" s="1262"/>
      <c r="W50" s="1262"/>
    </row>
    <row r="51" spans="1:23" ht="18.600000000000001" customHeight="1">
      <c r="A51" s="1561" t="s">
        <v>1029</v>
      </c>
      <c r="B51" s="1561"/>
      <c r="C51" s="1561"/>
      <c r="D51" s="1561"/>
      <c r="E51" s="1561"/>
      <c r="F51" s="1561"/>
      <c r="G51" s="1561"/>
      <c r="H51" s="1561"/>
      <c r="I51" s="1561"/>
      <c r="J51" s="1561"/>
      <c r="K51" s="1304"/>
      <c r="L51" s="1304"/>
      <c r="M51" s="1304"/>
      <c r="N51" s="1290"/>
      <c r="O51" s="1290"/>
      <c r="P51" s="1304"/>
      <c r="Q51" s="1305"/>
      <c r="R51" s="1302"/>
      <c r="S51" s="1262"/>
      <c r="T51" s="1262"/>
      <c r="U51" s="1262"/>
      <c r="V51" s="1262"/>
      <c r="W51" s="1262"/>
    </row>
    <row r="52" spans="1:23" ht="23.1" customHeight="1">
      <c r="A52" s="1561"/>
      <c r="B52" s="1561"/>
      <c r="C52" s="1561"/>
      <c r="D52" s="1561"/>
      <c r="E52" s="1561"/>
      <c r="F52" s="1561"/>
      <c r="G52" s="1561"/>
      <c r="H52" s="1561"/>
      <c r="I52" s="1561"/>
      <c r="J52" s="1561"/>
      <c r="K52" s="1304"/>
      <c r="L52" s="1304"/>
      <c r="M52" s="1304"/>
      <c r="N52" s="1290"/>
      <c r="O52" s="1290"/>
      <c r="P52" s="1304"/>
      <c r="Q52" s="1305"/>
      <c r="R52" s="1302"/>
      <c r="S52" s="1262"/>
      <c r="T52" s="1262"/>
      <c r="U52" s="1262"/>
      <c r="V52" s="1262"/>
      <c r="W52" s="1262"/>
    </row>
    <row r="53" spans="1:23" ht="15" customHeight="1">
      <c r="B53" s="1297"/>
      <c r="C53" s="1298"/>
      <c r="D53" s="1266"/>
      <c r="E53" s="1266"/>
      <c r="F53" s="1266"/>
      <c r="G53" s="1266"/>
      <c r="H53" s="1266"/>
      <c r="I53" s="1303"/>
      <c r="J53" s="1290"/>
      <c r="K53" s="1304"/>
      <c r="L53" s="1304"/>
      <c r="M53" s="1304"/>
      <c r="N53" s="1290"/>
      <c r="O53" s="1290"/>
      <c r="P53" s="1304"/>
      <c r="Q53" s="1305"/>
      <c r="R53" s="1302"/>
      <c r="S53" s="1262"/>
      <c r="T53" s="1262"/>
      <c r="U53" s="1262"/>
      <c r="V53" s="1262"/>
      <c r="W53" s="1262"/>
    </row>
    <row r="54" spans="1:23">
      <c r="B54" s="1258"/>
      <c r="C54" s="1298"/>
      <c r="D54" s="1266"/>
      <c r="E54" s="1266"/>
      <c r="F54" s="1266"/>
      <c r="G54" s="1266"/>
      <c r="H54" s="1266"/>
      <c r="I54" s="1303"/>
      <c r="J54" s="1305"/>
      <c r="K54" s="1304"/>
      <c r="L54" s="1304"/>
      <c r="M54" s="1304"/>
      <c r="N54" s="1305"/>
      <c r="O54" s="1305"/>
      <c r="P54" s="1304"/>
      <c r="Q54" s="1305"/>
      <c r="R54" s="1302"/>
      <c r="S54" s="1262"/>
      <c r="T54" s="1262"/>
      <c r="U54" s="1262"/>
      <c r="V54" s="1262"/>
      <c r="W54" s="1262"/>
    </row>
    <row r="55" spans="1:23" ht="15" customHeight="1">
      <c r="A55" s="1308" t="s">
        <v>1030</v>
      </c>
      <c r="B55" s="1562" t="s">
        <v>1031</v>
      </c>
      <c r="C55" s="1562"/>
      <c r="D55" s="1562"/>
      <c r="E55" s="1562"/>
      <c r="F55" s="1562"/>
      <c r="G55" s="1562"/>
      <c r="H55" s="1562"/>
      <c r="I55" s="1562"/>
      <c r="J55" s="1562"/>
      <c r="K55" s="1309"/>
      <c r="L55" s="1304"/>
      <c r="M55" s="1304"/>
      <c r="O55" s="1310"/>
      <c r="P55" s="1310"/>
      <c r="Q55" s="1310"/>
      <c r="R55" s="1262"/>
    </row>
    <row r="56" spans="1:23">
      <c r="B56" s="1562"/>
      <c r="C56" s="1562"/>
      <c r="D56" s="1562"/>
      <c r="E56" s="1562"/>
      <c r="F56" s="1562"/>
      <c r="G56" s="1562"/>
      <c r="H56" s="1562"/>
      <c r="I56" s="1562"/>
      <c r="J56" s="1562"/>
      <c r="K56" s="1309"/>
      <c r="L56" s="1311"/>
      <c r="O56" s="1310"/>
      <c r="R56" s="1262"/>
    </row>
    <row r="57" spans="1:23">
      <c r="B57" s="1562"/>
      <c r="C57" s="1562"/>
      <c r="D57" s="1562"/>
      <c r="E57" s="1562"/>
      <c r="F57" s="1562"/>
      <c r="G57" s="1562"/>
      <c r="H57" s="1562"/>
      <c r="I57" s="1562"/>
      <c r="J57" s="1562"/>
      <c r="K57" s="1309"/>
      <c r="L57" s="1311"/>
      <c r="R57" s="1262"/>
    </row>
    <row r="58" spans="1:23">
      <c r="B58" s="1562"/>
      <c r="C58" s="1562"/>
      <c r="D58" s="1562"/>
      <c r="E58" s="1562"/>
      <c r="F58" s="1562"/>
      <c r="G58" s="1562"/>
      <c r="H58" s="1562"/>
      <c r="I58" s="1562"/>
      <c r="J58" s="1562"/>
      <c r="K58" s="1309"/>
      <c r="L58" s="1311"/>
      <c r="P58" s="1310"/>
      <c r="Q58" s="1310"/>
      <c r="R58" s="1262"/>
    </row>
    <row r="59" spans="1:23">
      <c r="B59" s="1562"/>
      <c r="C59" s="1562"/>
      <c r="D59" s="1562"/>
      <c r="E59" s="1562"/>
      <c r="F59" s="1562"/>
      <c r="G59" s="1562"/>
      <c r="H59" s="1562"/>
      <c r="I59" s="1562"/>
      <c r="J59" s="1562"/>
      <c r="K59" s="1309"/>
      <c r="R59" s="1262"/>
    </row>
    <row r="60" spans="1:23">
      <c r="B60" s="1562"/>
      <c r="C60" s="1562"/>
      <c r="D60" s="1562"/>
      <c r="E60" s="1562"/>
      <c r="F60" s="1562"/>
      <c r="G60" s="1562"/>
      <c r="H60" s="1562"/>
      <c r="I60" s="1562"/>
      <c r="J60" s="1562"/>
      <c r="K60" s="1309"/>
      <c r="R60" s="1262"/>
    </row>
    <row r="61" spans="1:23" ht="5.0999999999999996" customHeight="1">
      <c r="B61" s="1309"/>
      <c r="C61" s="1309"/>
      <c r="D61" s="1309"/>
      <c r="E61" s="1309"/>
      <c r="F61" s="1309"/>
      <c r="G61" s="1309"/>
      <c r="H61" s="1309"/>
      <c r="I61" s="1309"/>
      <c r="J61" s="1309"/>
      <c r="K61" s="1309"/>
      <c r="R61" s="1262"/>
    </row>
    <row r="62" spans="1:23" ht="12.6" customHeight="1">
      <c r="A62" s="1258" t="s">
        <v>1032</v>
      </c>
      <c r="B62" s="1312" t="s">
        <v>1033</v>
      </c>
      <c r="C62" s="1312"/>
      <c r="D62" s="1312"/>
      <c r="E62" s="1312"/>
      <c r="F62" s="1312"/>
      <c r="G62" s="1312"/>
      <c r="H62" s="1312"/>
      <c r="I62" s="1312"/>
      <c r="J62" s="1312"/>
      <c r="K62" s="1309"/>
      <c r="L62" s="1304"/>
      <c r="M62" s="1304"/>
      <c r="R62" s="1262"/>
    </row>
    <row r="63" spans="1:23" ht="4.5" customHeight="1">
      <c r="B63" s="1312"/>
      <c r="C63" s="1312"/>
      <c r="D63" s="1312"/>
      <c r="E63" s="1312"/>
      <c r="F63" s="1312"/>
      <c r="G63" s="1312"/>
      <c r="H63" s="1312"/>
      <c r="I63" s="1312"/>
      <c r="J63" s="1312"/>
      <c r="K63" s="1309"/>
      <c r="M63" s="1304"/>
      <c r="R63" s="1262"/>
    </row>
    <row r="64" spans="1:23" ht="12.6" customHeight="1">
      <c r="A64" s="1258" t="s">
        <v>1034</v>
      </c>
      <c r="B64" s="1312" t="s">
        <v>1035</v>
      </c>
      <c r="C64" s="1312"/>
      <c r="D64" s="1312"/>
      <c r="E64" s="1312"/>
      <c r="F64" s="1312"/>
      <c r="G64" s="1312"/>
      <c r="H64" s="1312"/>
      <c r="I64" s="1312"/>
      <c r="J64" s="1312"/>
      <c r="K64" s="1309"/>
      <c r="L64" s="1304"/>
      <c r="M64" s="1304"/>
      <c r="R64" s="1262"/>
    </row>
    <row r="65" spans="1:18" ht="5.0999999999999996" customHeight="1">
      <c r="B65" s="1309"/>
      <c r="C65" s="1309"/>
      <c r="D65" s="1309"/>
      <c r="E65" s="1309"/>
      <c r="F65" s="1309"/>
      <c r="G65" s="1309"/>
      <c r="H65" s="1309"/>
      <c r="I65" s="1309"/>
      <c r="J65" s="1309"/>
      <c r="K65" s="1309"/>
      <c r="M65" s="1304"/>
      <c r="R65" s="1262"/>
    </row>
    <row r="66" spans="1:18" s="1272" customFormat="1" ht="12.6" customHeight="1">
      <c r="A66" s="1258" t="s">
        <v>1036</v>
      </c>
      <c r="B66" s="1563" t="s">
        <v>1037</v>
      </c>
      <c r="C66" s="1563"/>
      <c r="D66" s="1563"/>
      <c r="E66" s="1563"/>
      <c r="F66" s="1563"/>
      <c r="G66" s="1563"/>
      <c r="H66" s="1563"/>
      <c r="I66" s="1563"/>
      <c r="J66" s="1563"/>
      <c r="K66" s="1313"/>
      <c r="L66" s="1304"/>
      <c r="M66" s="1304"/>
      <c r="R66" s="1277"/>
    </row>
    <row r="67" spans="1:18" s="1272" customFormat="1" ht="12.6" customHeight="1">
      <c r="A67" s="1258"/>
      <c r="B67" s="1563"/>
      <c r="C67" s="1563"/>
      <c r="D67" s="1563"/>
      <c r="E67" s="1563"/>
      <c r="F67" s="1563"/>
      <c r="G67" s="1563"/>
      <c r="H67" s="1563"/>
      <c r="I67" s="1563"/>
      <c r="J67" s="1563"/>
      <c r="K67" s="1313"/>
      <c r="M67" s="1304"/>
      <c r="R67" s="1277"/>
    </row>
    <row r="68" spans="1:18" ht="5.0999999999999996" customHeight="1">
      <c r="B68" s="1309"/>
      <c r="C68" s="1309"/>
      <c r="D68" s="1309"/>
      <c r="E68" s="1309"/>
      <c r="F68" s="1309"/>
      <c r="G68" s="1309"/>
      <c r="H68" s="1309"/>
      <c r="I68" s="1309"/>
      <c r="J68" s="1309"/>
      <c r="K68" s="1309"/>
      <c r="M68" s="1304"/>
      <c r="R68" s="1262"/>
    </row>
    <row r="69" spans="1:18">
      <c r="A69" s="1258" t="s">
        <v>1038</v>
      </c>
      <c r="B69" s="1564" t="s">
        <v>1039</v>
      </c>
      <c r="C69" s="1564"/>
      <c r="D69" s="1564"/>
      <c r="E69" s="1564"/>
      <c r="F69" s="1564"/>
      <c r="G69" s="1564"/>
      <c r="H69" s="1564"/>
      <c r="I69" s="1564"/>
      <c r="J69" s="1564"/>
      <c r="K69" s="1309"/>
      <c r="L69" s="1304"/>
      <c r="M69" s="1304"/>
      <c r="R69" s="1262"/>
    </row>
    <row r="70" spans="1:18">
      <c r="B70" s="1564"/>
      <c r="C70" s="1564"/>
      <c r="D70" s="1564"/>
      <c r="E70" s="1564"/>
      <c r="F70" s="1564"/>
      <c r="G70" s="1564"/>
      <c r="H70" s="1564"/>
      <c r="I70" s="1564"/>
      <c r="J70" s="1564"/>
      <c r="K70" s="1309"/>
      <c r="M70" s="1304"/>
      <c r="R70" s="1262"/>
    </row>
    <row r="71" spans="1:18" ht="4.5" customHeight="1">
      <c r="B71" s="1314"/>
      <c r="C71" s="1309"/>
      <c r="D71" s="1309"/>
      <c r="E71" s="1309"/>
      <c r="F71" s="1309"/>
      <c r="G71" s="1309"/>
      <c r="H71" s="1309"/>
      <c r="I71" s="1309"/>
      <c r="J71" s="1309"/>
      <c r="K71" s="1309"/>
      <c r="M71" s="1304"/>
      <c r="R71" s="1262"/>
    </row>
    <row r="72" spans="1:18" ht="11.45" customHeight="1">
      <c r="A72" s="1301" t="s">
        <v>1040</v>
      </c>
      <c r="B72" s="1562" t="str">
        <f>"The amount of excess amortization entries shown in lines "&amp;A13&amp;" through "&amp;A22&amp;"  and "&amp;A34&amp;" through "&amp;A41&amp;" are shown as a debit or credit to the ADIT account from which it is being amortized.  The total in line "&amp;A29&amp;" and "&amp;A48&amp;" is the offset recorded to the 410/411 account and will tie to the total company and transmission functional amounts of excess or deficient ADIT amortization shown on line 119 of the cost of service."</f>
        <v>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2" s="1562"/>
      <c r="D72" s="1562"/>
      <c r="E72" s="1562"/>
      <c r="F72" s="1562"/>
      <c r="G72" s="1562"/>
      <c r="H72" s="1562"/>
      <c r="I72" s="1562"/>
      <c r="J72" s="1309"/>
      <c r="K72" s="1311"/>
      <c r="L72" s="1304"/>
      <c r="M72" s="1304"/>
      <c r="R72" s="1262"/>
    </row>
    <row r="73" spans="1:18" ht="11.45" customHeight="1">
      <c r="B73" s="1562"/>
      <c r="C73" s="1562"/>
      <c r="D73" s="1562"/>
      <c r="E73" s="1562"/>
      <c r="F73" s="1562"/>
      <c r="G73" s="1562"/>
      <c r="H73" s="1562"/>
      <c r="I73" s="1562"/>
      <c r="J73" s="1309"/>
      <c r="R73" s="1262"/>
    </row>
    <row r="74" spans="1:18">
      <c r="B74" s="1562"/>
      <c r="C74" s="1562"/>
      <c r="D74" s="1562"/>
      <c r="E74" s="1562"/>
      <c r="F74" s="1562"/>
      <c r="G74" s="1562"/>
      <c r="H74" s="1562"/>
      <c r="I74" s="1562"/>
      <c r="R74" s="1262"/>
    </row>
    <row r="75" spans="1:18">
      <c r="R75" s="1262"/>
    </row>
    <row r="76" spans="1:18">
      <c r="R76" s="1262"/>
    </row>
    <row r="81" spans="1:11">
      <c r="A81" s="1308"/>
      <c r="B81" s="1308"/>
      <c r="C81" s="1308"/>
      <c r="D81" s="1308"/>
      <c r="E81" s="1308"/>
      <c r="F81" s="1308"/>
      <c r="G81" s="1308"/>
      <c r="H81" s="1308"/>
      <c r="I81" s="1308"/>
      <c r="J81" s="1308"/>
      <c r="K81" s="1308"/>
    </row>
    <row r="82" spans="1:11">
      <c r="A82" s="1308"/>
      <c r="B82" s="1308"/>
      <c r="C82" s="1308"/>
      <c r="D82" s="1308"/>
      <c r="E82" s="1308"/>
      <c r="F82" s="1308"/>
      <c r="G82" s="1308"/>
      <c r="H82" s="1308"/>
      <c r="I82" s="1308"/>
      <c r="J82" s="1308"/>
      <c r="K82" s="1308"/>
    </row>
    <row r="83" spans="1:11">
      <c r="D83" s="1308"/>
      <c r="E83" s="1308"/>
      <c r="F83" s="1308"/>
      <c r="G83" s="1308"/>
      <c r="H83" s="1308"/>
      <c r="I83" s="1308"/>
      <c r="J83" s="1308"/>
      <c r="K83" s="1308"/>
    </row>
    <row r="84" spans="1:11">
      <c r="A84" s="1308"/>
      <c r="B84" s="1308"/>
      <c r="C84" s="1308"/>
      <c r="D84" s="1308"/>
      <c r="E84" s="1308"/>
      <c r="F84" s="1308"/>
      <c r="G84" s="1308"/>
      <c r="H84" s="1308"/>
      <c r="I84" s="1308"/>
      <c r="J84" s="1308"/>
      <c r="K84" s="1308"/>
    </row>
    <row r="85" spans="1:11">
      <c r="A85" s="1308"/>
      <c r="B85" s="1308"/>
      <c r="C85" s="1308"/>
      <c r="D85" s="1308"/>
      <c r="E85" s="1308"/>
      <c r="F85" s="1308"/>
      <c r="G85" s="1308"/>
      <c r="H85" s="1308"/>
      <c r="I85" s="1308"/>
      <c r="J85" s="1308"/>
      <c r="K85" s="1308"/>
    </row>
    <row r="86" spans="1:11">
      <c r="A86" s="1308"/>
      <c r="B86" s="1308"/>
      <c r="C86" s="1308"/>
      <c r="D86" s="1308"/>
      <c r="E86" s="1308"/>
      <c r="F86" s="1308"/>
      <c r="G86" s="1308"/>
      <c r="H86" s="1308"/>
      <c r="I86" s="1308"/>
      <c r="J86" s="1308"/>
      <c r="K86" s="1308"/>
    </row>
    <row r="87" spans="1:11">
      <c r="A87" s="1308"/>
      <c r="B87" s="1308"/>
      <c r="C87" s="1308"/>
      <c r="D87" s="1308"/>
      <c r="E87" s="1308"/>
      <c r="F87" s="1308"/>
      <c r="G87" s="1308"/>
      <c r="H87" s="1308"/>
      <c r="I87" s="1308"/>
      <c r="J87" s="1308"/>
      <c r="K87" s="1308"/>
    </row>
    <row r="88" spans="1:11">
      <c r="A88" s="1308"/>
      <c r="B88" s="1308"/>
      <c r="C88" s="1308"/>
      <c r="D88" s="1308"/>
      <c r="E88" s="1308"/>
      <c r="F88" s="1308"/>
      <c r="G88" s="1308"/>
      <c r="H88" s="1308"/>
      <c r="I88" s="1308"/>
      <c r="J88" s="1308"/>
      <c r="K88" s="1308"/>
    </row>
    <row r="89" spans="1:11">
      <c r="A89" s="1308"/>
      <c r="B89" s="1308"/>
      <c r="C89" s="1308"/>
      <c r="D89" s="1308"/>
      <c r="E89" s="1308"/>
      <c r="F89" s="1308"/>
      <c r="G89" s="1308"/>
      <c r="H89" s="1308"/>
      <c r="I89" s="1308"/>
      <c r="J89" s="1308"/>
      <c r="K89" s="1308"/>
    </row>
    <row r="90" spans="1:11">
      <c r="A90" s="1308"/>
      <c r="B90" s="1308"/>
      <c r="C90" s="1308"/>
      <c r="D90" s="1308"/>
      <c r="E90" s="1308"/>
      <c r="F90" s="1308"/>
      <c r="G90" s="1308"/>
      <c r="H90" s="1308"/>
      <c r="I90" s="1308"/>
      <c r="J90" s="1308"/>
      <c r="K90" s="1308"/>
    </row>
    <row r="91" spans="1:11">
      <c r="A91" s="1308"/>
      <c r="B91" s="1308"/>
      <c r="C91" s="1308"/>
      <c r="D91" s="1308"/>
      <c r="E91" s="1308"/>
      <c r="F91" s="1308"/>
      <c r="G91" s="1308"/>
      <c r="H91" s="1308"/>
      <c r="I91" s="1308"/>
      <c r="J91" s="1308"/>
      <c r="K91" s="1308"/>
    </row>
    <row r="98" spans="1:11">
      <c r="B98" s="1301"/>
    </row>
    <row r="99" spans="1:11">
      <c r="B99" s="1311"/>
    </row>
    <row r="100" spans="1:11">
      <c r="B100" s="1311"/>
    </row>
    <row r="101" spans="1:11">
      <c r="B101" s="1311"/>
    </row>
    <row r="102" spans="1:11">
      <c r="B102" s="1311"/>
      <c r="D102" s="1272"/>
      <c r="E102" s="1272"/>
      <c r="F102" s="1272"/>
    </row>
    <row r="103" spans="1:11">
      <c r="A103" s="1315"/>
      <c r="B103" s="1308"/>
      <c r="C103" s="1308"/>
      <c r="D103" s="1308"/>
      <c r="E103" s="1308"/>
      <c r="F103" s="1308"/>
      <c r="G103" s="1308"/>
      <c r="H103" s="1308"/>
      <c r="I103" s="1308"/>
      <c r="J103" s="1308"/>
      <c r="K103" s="1308"/>
    </row>
    <row r="104" spans="1:11">
      <c r="A104" s="1308"/>
      <c r="B104" s="1308"/>
      <c r="C104" s="1308"/>
      <c r="D104" s="1308"/>
      <c r="E104" s="1308"/>
      <c r="F104" s="1308"/>
      <c r="G104" s="1308"/>
      <c r="H104" s="1308"/>
      <c r="I104" s="1308"/>
      <c r="J104" s="1308"/>
      <c r="K104" s="1308"/>
    </row>
    <row r="105" spans="1:11">
      <c r="A105" s="1308"/>
      <c r="B105" s="1308"/>
      <c r="C105" s="1308"/>
      <c r="D105" s="1308"/>
      <c r="E105" s="1308"/>
      <c r="F105" s="1308"/>
      <c r="G105" s="1308"/>
      <c r="H105" s="1308"/>
      <c r="I105" s="1308"/>
      <c r="J105" s="1308"/>
      <c r="K105" s="1308"/>
    </row>
    <row r="106" spans="1:11">
      <c r="A106" s="1308"/>
      <c r="B106" s="1308"/>
      <c r="C106" s="1308"/>
      <c r="D106" s="1308"/>
      <c r="E106" s="1308"/>
      <c r="F106" s="1308"/>
      <c r="G106" s="1308"/>
      <c r="H106" s="1308"/>
      <c r="I106" s="1308"/>
      <c r="J106" s="1308"/>
      <c r="K106" s="1308"/>
    </row>
    <row r="107" spans="1:11">
      <c r="A107" s="1308"/>
      <c r="B107" s="1308"/>
      <c r="C107" s="1308"/>
      <c r="D107" s="1316"/>
      <c r="E107" s="1316"/>
      <c r="F107" s="1316"/>
      <c r="G107" s="1308"/>
      <c r="H107" s="1308"/>
      <c r="I107" s="1308"/>
      <c r="J107" s="1308"/>
      <c r="K107" s="1308"/>
    </row>
    <row r="108" spans="1:11">
      <c r="A108" s="1308"/>
      <c r="B108" s="1308"/>
      <c r="C108" s="1308"/>
      <c r="D108" s="1310"/>
      <c r="E108" s="1310"/>
      <c r="F108" s="1310"/>
      <c r="G108" s="1308"/>
      <c r="H108" s="1308"/>
      <c r="I108" s="1308"/>
      <c r="J108" s="1308"/>
      <c r="K108" s="1308"/>
    </row>
    <row r="109" spans="1:11">
      <c r="A109" s="1308"/>
      <c r="B109" s="1308"/>
      <c r="C109" s="1308"/>
      <c r="D109" s="1316"/>
      <c r="E109" s="1316"/>
      <c r="F109" s="1316"/>
      <c r="G109" s="1308"/>
      <c r="H109" s="1308"/>
      <c r="I109" s="1308"/>
      <c r="J109" s="1308"/>
      <c r="K109" s="1308"/>
    </row>
    <row r="110" spans="1:11">
      <c r="A110" s="1308"/>
      <c r="B110" s="1308"/>
      <c r="C110" s="1308"/>
      <c r="D110" s="1308"/>
      <c r="E110" s="1308"/>
      <c r="F110" s="1308"/>
      <c r="G110" s="1308"/>
      <c r="H110" s="1308"/>
      <c r="I110" s="1308"/>
      <c r="J110" s="1308"/>
      <c r="K110" s="1308"/>
    </row>
    <row r="111" spans="1:11">
      <c r="A111" s="1308"/>
      <c r="B111" s="1308"/>
      <c r="C111" s="1308"/>
      <c r="D111" s="1308"/>
      <c r="E111" s="1308"/>
      <c r="F111" s="1308"/>
      <c r="G111" s="1308"/>
      <c r="H111" s="1308"/>
      <c r="I111" s="1308"/>
      <c r="J111" s="1308"/>
      <c r="K111" s="1308"/>
    </row>
    <row r="112" spans="1:11">
      <c r="A112" s="1308"/>
      <c r="B112" s="1308"/>
      <c r="C112" s="1308"/>
      <c r="D112" s="1308"/>
      <c r="E112" s="1308"/>
      <c r="F112" s="1308"/>
      <c r="G112" s="1308"/>
      <c r="H112" s="1308"/>
      <c r="I112" s="1308"/>
      <c r="J112" s="1308"/>
      <c r="K112" s="1308"/>
    </row>
    <row r="113" spans="1:11">
      <c r="A113" s="1308"/>
      <c r="C113" s="1308"/>
      <c r="D113" s="1308"/>
      <c r="E113" s="1308"/>
      <c r="F113" s="1308"/>
      <c r="G113" s="1308"/>
      <c r="H113" s="1308"/>
      <c r="I113" s="1308"/>
      <c r="J113" s="1308"/>
      <c r="K113" s="1308"/>
    </row>
    <row r="114" spans="1:11">
      <c r="A114" s="1308"/>
      <c r="B114" s="1308"/>
      <c r="C114" s="1308"/>
      <c r="D114" s="1308"/>
      <c r="E114" s="1308"/>
      <c r="F114" s="1308"/>
      <c r="G114" s="1308"/>
      <c r="H114" s="1308"/>
      <c r="I114" s="1308"/>
      <c r="J114" s="1308"/>
      <c r="K114" s="1308"/>
    </row>
    <row r="115" spans="1:11">
      <c r="A115" s="1308"/>
      <c r="B115" s="1308"/>
      <c r="C115" s="1308"/>
      <c r="D115" s="1308"/>
      <c r="E115" s="1308"/>
      <c r="F115" s="1308"/>
      <c r="G115" s="1308"/>
      <c r="H115" s="1308"/>
      <c r="I115" s="1308"/>
      <c r="J115" s="1308"/>
      <c r="K115" s="1308"/>
    </row>
  </sheetData>
  <mergeCells count="17">
    <mergeCell ref="R16:R17"/>
    <mergeCell ref="B48:C48"/>
    <mergeCell ref="I9:J9"/>
    <mergeCell ref="K9:M9"/>
    <mergeCell ref="N9:O9"/>
    <mergeCell ref="P9:Q9"/>
    <mergeCell ref="P11:Q11"/>
    <mergeCell ref="R18:R19"/>
    <mergeCell ref="B29:C29"/>
    <mergeCell ref="P32:Q32"/>
    <mergeCell ref="R35:R36"/>
    <mergeCell ref="R37:R38"/>
    <mergeCell ref="A51:J52"/>
    <mergeCell ref="B55:J60"/>
    <mergeCell ref="B66:J67"/>
    <mergeCell ref="B69:J70"/>
    <mergeCell ref="B72:I7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19077-5C02-41A9-B14E-3248D187B857}">
  <sheetPr>
    <pageSetUpPr fitToPage="1"/>
  </sheetPr>
  <dimension ref="A1:Q78"/>
  <sheetViews>
    <sheetView workbookViewId="0">
      <selection activeCell="F35" sqref="F35"/>
    </sheetView>
  </sheetViews>
  <sheetFormatPr defaultColWidth="11.85546875" defaultRowHeight="12.75"/>
  <cols>
    <col min="1" max="1" width="9" style="1352" customWidth="1"/>
    <col min="2" max="2" width="15" style="1353" bestFit="1" customWidth="1"/>
    <col min="3" max="3" width="4.140625" style="1353" customWidth="1"/>
    <col min="4" max="4" width="21" style="1353" bestFit="1" customWidth="1"/>
    <col min="5" max="5" width="29.7109375" style="1353" bestFit="1" customWidth="1"/>
    <col min="6" max="6" width="21.42578125" style="1353" customWidth="1"/>
    <col min="7" max="7" width="4.28515625" style="1353" customWidth="1"/>
    <col min="8" max="8" width="19" style="1353" customWidth="1"/>
    <col min="9" max="9" width="5" style="1353" customWidth="1"/>
    <col min="10" max="10" width="19.85546875" style="1353" customWidth="1"/>
    <col min="11" max="11" width="3.5703125" style="1353" customWidth="1"/>
    <col min="12" max="12" width="19.7109375" style="1353" customWidth="1"/>
    <col min="13" max="13" width="16" style="1353" customWidth="1"/>
    <col min="14" max="14" width="19.140625" style="1353" bestFit="1" customWidth="1"/>
    <col min="15" max="15" width="16.5703125" style="1356" bestFit="1" customWidth="1"/>
    <col min="16" max="16" width="15.28515625" style="1353" bestFit="1" customWidth="1"/>
    <col min="17" max="16384" width="11.85546875" style="1353"/>
  </cols>
  <sheetData>
    <row r="1" spans="1:17" ht="15">
      <c r="A1" s="1352" t="s">
        <v>1075</v>
      </c>
      <c r="L1" s="1354"/>
      <c r="N1" s="1355" t="s">
        <v>1076</v>
      </c>
    </row>
    <row r="2" spans="1:17">
      <c r="A2" s="1352" t="s">
        <v>1077</v>
      </c>
      <c r="L2" s="1357"/>
      <c r="N2" s="1358" t="s">
        <v>1078</v>
      </c>
    </row>
    <row r="3" spans="1:17">
      <c r="A3" s="1352" t="s">
        <v>1079</v>
      </c>
      <c r="N3" s="1358" t="s">
        <v>1080</v>
      </c>
    </row>
    <row r="4" spans="1:17">
      <c r="A4" s="1352" t="s">
        <v>1081</v>
      </c>
      <c r="N4" s="1355" t="s">
        <v>1082</v>
      </c>
    </row>
    <row r="5" spans="1:17">
      <c r="A5" s="1352" t="s">
        <v>1083</v>
      </c>
    </row>
    <row r="6" spans="1:17">
      <c r="A6" s="1352" t="s">
        <v>961</v>
      </c>
    </row>
    <row r="7" spans="1:17">
      <c r="A7" s="1574" t="s">
        <v>1084</v>
      </c>
      <c r="B7" s="1574"/>
      <c r="C7" s="1574"/>
      <c r="D7" s="1574"/>
      <c r="E7" s="1574"/>
      <c r="F7" s="1574"/>
      <c r="G7" s="1574"/>
      <c r="H7" s="1574"/>
      <c r="I7" s="1574"/>
      <c r="J7" s="1574"/>
      <c r="K7" s="1574"/>
      <c r="L7" s="1574"/>
      <c r="M7" s="1574"/>
      <c r="N7" s="1574"/>
    </row>
    <row r="9" spans="1:17">
      <c r="A9" s="1359" t="s">
        <v>149</v>
      </c>
      <c r="B9" s="1360" t="s">
        <v>150</v>
      </c>
      <c r="C9" s="1360"/>
      <c r="D9" s="1360" t="s">
        <v>151</v>
      </c>
      <c r="E9" s="1360" t="s">
        <v>152</v>
      </c>
      <c r="F9" s="1360" t="s">
        <v>153</v>
      </c>
      <c r="G9" s="1360"/>
      <c r="H9" s="1360" t="s">
        <v>1085</v>
      </c>
      <c r="I9" s="1360"/>
      <c r="J9" s="1360" t="s">
        <v>155</v>
      </c>
      <c r="K9" s="1360"/>
      <c r="L9" s="1360" t="s">
        <v>1086</v>
      </c>
      <c r="M9" s="1360" t="s">
        <v>157</v>
      </c>
      <c r="N9" s="1360" t="s">
        <v>1087</v>
      </c>
      <c r="Q9" s="1575"/>
    </row>
    <row r="10" spans="1:17">
      <c r="F10" s="1361"/>
      <c r="G10" s="1361"/>
      <c r="H10" s="1361"/>
      <c r="Q10" s="1575"/>
    </row>
    <row r="11" spans="1:17" ht="38.25">
      <c r="A11" s="1352" t="s">
        <v>1088</v>
      </c>
      <c r="B11" s="1353" t="s">
        <v>1089</v>
      </c>
      <c r="D11" s="1362" t="s">
        <v>1090</v>
      </c>
      <c r="E11" s="1360" t="s">
        <v>980</v>
      </c>
      <c r="F11" s="1362" t="s">
        <v>1091</v>
      </c>
      <c r="G11" s="1362"/>
      <c r="H11" s="1362" t="s">
        <v>1092</v>
      </c>
      <c r="I11" s="1363"/>
      <c r="J11" s="1362" t="s">
        <v>1093</v>
      </c>
      <c r="L11" s="1362" t="s">
        <v>1094</v>
      </c>
      <c r="M11" s="1362" t="s">
        <v>1095</v>
      </c>
      <c r="N11" s="1362" t="s">
        <v>1096</v>
      </c>
    </row>
    <row r="12" spans="1:17" ht="15">
      <c r="D12" s="1362"/>
      <c r="E12" s="1360"/>
      <c r="F12" s="1362"/>
      <c r="G12" s="1362"/>
      <c r="H12" s="1362"/>
      <c r="I12" s="1363"/>
      <c r="J12" s="1362"/>
      <c r="L12" s="1362"/>
      <c r="N12" s="1361"/>
    </row>
    <row r="13" spans="1:17" ht="15">
      <c r="A13" s="1364" t="s">
        <v>1097</v>
      </c>
      <c r="D13" s="1362"/>
      <c r="E13" s="1360"/>
      <c r="F13" s="1362"/>
      <c r="G13" s="1362"/>
      <c r="H13" s="1362"/>
      <c r="I13" s="1363"/>
      <c r="J13" s="1362"/>
      <c r="L13" s="1362"/>
      <c r="N13" s="1361"/>
    </row>
    <row r="14" spans="1:17">
      <c r="D14" s="1356"/>
      <c r="E14" s="1356"/>
      <c r="F14" s="1365"/>
      <c r="G14" s="1365"/>
      <c r="H14" s="1365"/>
      <c r="I14" s="1365"/>
      <c r="J14" s="1365"/>
      <c r="K14" s="1365"/>
      <c r="L14" s="1365"/>
      <c r="M14" s="1356"/>
      <c r="N14" s="1356"/>
    </row>
    <row r="15" spans="1:17" ht="12.6" customHeight="1">
      <c r="A15" s="1366">
        <v>1</v>
      </c>
      <c r="B15" s="1367" t="s">
        <v>1098</v>
      </c>
      <c r="D15" s="1368">
        <v>299354118</v>
      </c>
      <c r="E15" s="1356" t="s">
        <v>1099</v>
      </c>
      <c r="N15" s="1356"/>
    </row>
    <row r="16" spans="1:17" ht="15">
      <c r="A16" s="1366">
        <f>+A15+1</f>
        <v>2</v>
      </c>
      <c r="B16" s="1367"/>
      <c r="D16" s="1369">
        <v>91360.11</v>
      </c>
      <c r="E16" s="1356" t="s">
        <v>1100</v>
      </c>
      <c r="F16" s="1363"/>
      <c r="G16" s="1363"/>
      <c r="H16" s="1370"/>
      <c r="I16" s="1363"/>
      <c r="J16" s="1363"/>
      <c r="K16" s="1363"/>
      <c r="L16" s="1363"/>
      <c r="M16" s="1356"/>
      <c r="N16" s="1356"/>
    </row>
    <row r="17" spans="1:16">
      <c r="A17" s="1366">
        <f>++A16+1</f>
        <v>3</v>
      </c>
      <c r="B17" s="1367" t="s">
        <v>1101</v>
      </c>
      <c r="D17" s="1368">
        <f>+D15-D16</f>
        <v>299262757.88999999</v>
      </c>
      <c r="F17" s="1365">
        <v>114925970.95</v>
      </c>
      <c r="G17" s="1365"/>
      <c r="H17" s="1371">
        <f>+F17/D17</f>
        <v>0.38403031423055767</v>
      </c>
      <c r="I17" s="1372"/>
      <c r="J17" s="1365">
        <f>-F17</f>
        <v>-114925970.95</v>
      </c>
      <c r="K17" s="1365"/>
      <c r="L17" s="1365">
        <f>+F17+J17</f>
        <v>0</v>
      </c>
      <c r="M17" s="1356"/>
      <c r="N17" s="1356">
        <f>+D17-L17</f>
        <v>299262757.88999999</v>
      </c>
    </row>
    <row r="18" spans="1:16">
      <c r="A18" s="1366"/>
      <c r="B18" s="1367"/>
      <c r="D18" s="1356"/>
      <c r="E18" s="1356"/>
      <c r="F18" s="1373"/>
      <c r="G18" s="1373"/>
      <c r="H18" s="1371"/>
      <c r="I18" s="1372"/>
      <c r="J18" s="1365"/>
      <c r="K18" s="1365"/>
      <c r="L18" s="1365"/>
      <c r="M18" s="1356"/>
      <c r="N18" s="1356"/>
    </row>
    <row r="19" spans="1:16">
      <c r="A19" s="1366">
        <f>+A17+1</f>
        <v>4</v>
      </c>
      <c r="B19" s="1367" t="s">
        <v>1102</v>
      </c>
      <c r="D19" s="1356">
        <v>-289979890</v>
      </c>
      <c r="E19" s="1356" t="s">
        <v>1103</v>
      </c>
      <c r="F19" s="1365">
        <v>-115991956.2</v>
      </c>
      <c r="G19" s="1365"/>
      <c r="H19" s="1371">
        <f>+F19/D19</f>
        <v>0.40000000068970298</v>
      </c>
      <c r="I19" s="1576"/>
      <c r="J19" s="1365"/>
      <c r="K19" s="1365"/>
      <c r="L19" s="1365">
        <f>+F19+J19</f>
        <v>-115991956.2</v>
      </c>
      <c r="M19" s="1356" t="s">
        <v>989</v>
      </c>
      <c r="N19" s="1356">
        <f>+D19-L19</f>
        <v>-173987933.80000001</v>
      </c>
    </row>
    <row r="20" spans="1:16">
      <c r="A20" s="1366"/>
      <c r="B20" s="1367"/>
      <c r="D20" s="1356"/>
      <c r="E20" s="1356"/>
      <c r="F20" s="1365"/>
      <c r="G20" s="1365"/>
      <c r="H20" s="1374"/>
      <c r="I20" s="1576"/>
      <c r="J20" s="1365"/>
      <c r="K20" s="1365"/>
      <c r="L20" s="1365"/>
      <c r="M20" s="1356"/>
      <c r="N20" s="1356"/>
    </row>
    <row r="21" spans="1:16">
      <c r="A21" s="1366">
        <f>+A19+1</f>
        <v>5</v>
      </c>
      <c r="B21" s="1367" t="s">
        <v>1104</v>
      </c>
      <c r="D21" s="1356">
        <v>-1982378027</v>
      </c>
      <c r="E21" s="1356" t="s">
        <v>1105</v>
      </c>
      <c r="F21" s="1365">
        <v>-785862991.44999969</v>
      </c>
      <c r="G21" s="1365"/>
      <c r="H21" s="1371">
        <f>+F21/D21</f>
        <v>0.39642438563510152</v>
      </c>
      <c r="I21" s="1373"/>
      <c r="J21" s="1365">
        <v>-13641125.550000001</v>
      </c>
      <c r="K21" s="1365"/>
      <c r="L21" s="1365">
        <f>+F21+J21-L22</f>
        <v>-568878716.31999969</v>
      </c>
      <c r="M21" s="1356" t="s">
        <v>1106</v>
      </c>
      <c r="N21" s="1356">
        <f>+D21-L21-L22</f>
        <v>-1182873910.0000002</v>
      </c>
    </row>
    <row r="22" spans="1:16">
      <c r="A22" s="1366"/>
      <c r="B22" s="1367"/>
      <c r="D22" s="1356"/>
      <c r="E22" s="1356"/>
      <c r="F22" s="1365"/>
      <c r="G22" s="1365"/>
      <c r="H22" s="1374"/>
      <c r="I22" s="1365"/>
      <c r="J22" s="1365"/>
      <c r="K22" s="1365"/>
      <c r="L22" s="1365">
        <v>-230625400.68000001</v>
      </c>
      <c r="M22" s="1356" t="s">
        <v>1107</v>
      </c>
      <c r="N22" s="1356"/>
    </row>
    <row r="23" spans="1:16">
      <c r="A23" s="1366">
        <f>+A21+1</f>
        <v>6</v>
      </c>
      <c r="B23" s="1367" t="s">
        <v>1108</v>
      </c>
      <c r="D23" s="1356">
        <v>-426174211</v>
      </c>
      <c r="E23" s="1356" t="s">
        <v>1109</v>
      </c>
      <c r="H23" s="1375"/>
      <c r="N23" s="1356"/>
    </row>
    <row r="24" spans="1:16" ht="15">
      <c r="A24" s="1366">
        <f>+A23+1</f>
        <v>7</v>
      </c>
      <c r="B24" s="1367"/>
      <c r="D24" s="1376">
        <f>-118065681-12508624+65067609-4597370</f>
        <v>-70104066</v>
      </c>
      <c r="E24" s="1356" t="s">
        <v>1110</v>
      </c>
      <c r="F24" s="1363"/>
      <c r="G24" s="1363"/>
      <c r="H24" s="1377"/>
      <c r="I24" s="1378"/>
      <c r="J24" s="1365"/>
      <c r="K24" s="1365"/>
      <c r="L24" s="1365"/>
      <c r="M24" s="1356"/>
      <c r="N24" s="1356"/>
    </row>
    <row r="25" spans="1:16">
      <c r="A25" s="1366">
        <f>++A24+1</f>
        <v>8</v>
      </c>
      <c r="B25" s="1367" t="s">
        <v>1111</v>
      </c>
      <c r="D25" s="1356">
        <f>+D23-D24</f>
        <v>-356070145</v>
      </c>
      <c r="F25" s="1365">
        <v>-141371168.37999997</v>
      </c>
      <c r="G25" s="1365"/>
      <c r="H25" s="1371">
        <f>+F25/D25</f>
        <v>0.39703179377759956</v>
      </c>
      <c r="I25" s="1378"/>
      <c r="J25" s="1365">
        <f>-J17-J21</f>
        <v>128567096.5</v>
      </c>
      <c r="K25" s="1365"/>
      <c r="L25" s="1365">
        <f>+F25+J25</f>
        <v>-12804071.879999965</v>
      </c>
      <c r="M25" s="1356" t="s">
        <v>998</v>
      </c>
      <c r="N25" s="1356">
        <f>+D25-L25</f>
        <v>-343266073.12</v>
      </c>
    </row>
    <row r="26" spans="1:16">
      <c r="A26" s="1366"/>
      <c r="E26" s="1356"/>
      <c r="F26" s="1365"/>
      <c r="G26" s="1365"/>
      <c r="H26" s="1374"/>
      <c r="I26" s="1379"/>
      <c r="J26" s="1365"/>
      <c r="K26" s="1365"/>
      <c r="L26" s="1365"/>
      <c r="M26" s="1356"/>
      <c r="N26" s="1356"/>
    </row>
    <row r="27" spans="1:16">
      <c r="A27" s="1366">
        <f>+A25+1</f>
        <v>9</v>
      </c>
      <c r="B27" s="1353" t="s">
        <v>119</v>
      </c>
      <c r="D27" s="1380">
        <f>+D17+D19+D21+D25</f>
        <v>-2329165304.1100001</v>
      </c>
      <c r="E27" s="1356" t="s">
        <v>1112</v>
      </c>
      <c r="F27" s="1381">
        <f>SUM(F16:F25)</f>
        <v>-928300145.07999969</v>
      </c>
      <c r="G27" s="1382"/>
      <c r="H27" s="1383"/>
      <c r="J27" s="1381">
        <f>SUM(J16:J25)</f>
        <v>0</v>
      </c>
      <c r="K27" s="1365"/>
      <c r="L27" s="1381">
        <f>SUM(L16:L25)</f>
        <v>-928300145.0799998</v>
      </c>
      <c r="M27" s="1356"/>
      <c r="N27" s="1381">
        <f>SUM(N16:N25)</f>
        <v>-1400865159.0300002</v>
      </c>
    </row>
    <row r="28" spans="1:16">
      <c r="A28" s="1366"/>
      <c r="D28" s="1356"/>
      <c r="E28" s="1384"/>
      <c r="F28" s="1373"/>
      <c r="G28" s="1373"/>
      <c r="H28" s="1371"/>
      <c r="I28" s="1365"/>
      <c r="J28" s="1365"/>
      <c r="K28" s="1365"/>
      <c r="L28" s="1365"/>
      <c r="M28" s="1356"/>
      <c r="N28" s="1356"/>
    </row>
    <row r="29" spans="1:16">
      <c r="A29" s="1385" t="s">
        <v>1113</v>
      </c>
      <c r="D29" s="1356"/>
      <c r="E29" s="1356"/>
      <c r="F29" s="1373"/>
      <c r="G29" s="1373"/>
      <c r="H29" s="1371"/>
      <c r="I29" s="1373"/>
      <c r="J29" s="1365"/>
      <c r="K29" s="1365"/>
      <c r="L29" s="1365"/>
      <c r="M29" s="1356"/>
      <c r="N29" s="1356"/>
      <c r="P29" s="1356"/>
    </row>
    <row r="30" spans="1:16" ht="15">
      <c r="A30" s="1366"/>
      <c r="F30" s="1379"/>
      <c r="G30" s="1379"/>
      <c r="H30" s="1371"/>
      <c r="J30" s="1363"/>
      <c r="K30" s="1365"/>
      <c r="L30" s="1365"/>
      <c r="N30" s="1356"/>
      <c r="P30" s="1356"/>
    </row>
    <row r="31" spans="1:16">
      <c r="A31" s="1366">
        <f>+A27+1</f>
        <v>10</v>
      </c>
      <c r="B31" s="1367" t="s">
        <v>1101</v>
      </c>
      <c r="D31" s="1356">
        <v>64030741.600000001</v>
      </c>
      <c r="E31" s="1367" t="s">
        <v>628</v>
      </c>
      <c r="F31" s="1365">
        <v>25564247.969999999</v>
      </c>
      <c r="G31" s="1365"/>
      <c r="H31" s="1371">
        <f>+F31/D31</f>
        <v>0.39924959997652126</v>
      </c>
      <c r="I31" s="1379"/>
      <c r="J31" s="1365">
        <f>-F31</f>
        <v>-25564247.969999999</v>
      </c>
      <c r="K31" s="1365"/>
      <c r="L31" s="1365">
        <f>+F31+J31</f>
        <v>0</v>
      </c>
      <c r="N31" s="1356">
        <f>+D31-L31</f>
        <v>64030741.600000001</v>
      </c>
      <c r="P31" s="1356"/>
    </row>
    <row r="32" spans="1:16">
      <c r="A32" s="1366"/>
      <c r="B32" s="1367"/>
      <c r="D32" s="1356"/>
      <c r="E32" s="1356"/>
      <c r="F32" s="1373"/>
      <c r="G32" s="1373"/>
      <c r="H32" s="1371"/>
      <c r="I32" s="1373"/>
      <c r="J32" s="1365"/>
      <c r="K32" s="1365"/>
      <c r="L32" s="1365"/>
      <c r="N32" s="1356"/>
      <c r="O32" s="1353"/>
      <c r="P32" s="1356"/>
    </row>
    <row r="33" spans="1:16">
      <c r="A33" s="1366">
        <f>+A31+1</f>
        <v>11</v>
      </c>
      <c r="B33" s="1367" t="s">
        <v>1104</v>
      </c>
      <c r="D33" s="1356">
        <v>-532673985.5</v>
      </c>
      <c r="E33" s="1367" t="s">
        <v>628</v>
      </c>
      <c r="F33" s="1365">
        <v>-211738348.20000005</v>
      </c>
      <c r="G33" s="1365"/>
      <c r="H33" s="1371">
        <f>+F33/D33</f>
        <v>0.39750082407581749</v>
      </c>
      <c r="I33" s="1373"/>
      <c r="J33" s="1365">
        <v>-3524424.8</v>
      </c>
      <c r="K33" s="1365"/>
      <c r="L33" s="1365">
        <f>+F33+J33-L34</f>
        <v>-185402169.00000006</v>
      </c>
      <c r="M33" s="1353" t="s">
        <v>989</v>
      </c>
      <c r="N33" s="1356">
        <f>+D33-L33-L34</f>
        <v>-317411212.49999994</v>
      </c>
      <c r="O33" s="1353"/>
      <c r="P33" s="1386"/>
    </row>
    <row r="34" spans="1:16">
      <c r="A34" s="1366"/>
      <c r="B34" s="1367"/>
      <c r="D34" s="1356"/>
      <c r="E34" s="1367"/>
      <c r="F34" s="1365"/>
      <c r="G34" s="1365"/>
      <c r="H34" s="1371"/>
      <c r="I34" s="1373"/>
      <c r="J34" s="1365"/>
      <c r="K34" s="1365"/>
      <c r="L34" s="1365">
        <v>-29860604</v>
      </c>
      <c r="M34" s="1353" t="s">
        <v>998</v>
      </c>
      <c r="N34" s="1356"/>
      <c r="O34" s="1353"/>
      <c r="P34" s="1386"/>
    </row>
    <row r="35" spans="1:16">
      <c r="A35" s="1366"/>
      <c r="B35" s="1367"/>
      <c r="D35" s="1356"/>
      <c r="E35" s="1356"/>
      <c r="H35" s="1375"/>
      <c r="I35" s="1387"/>
      <c r="J35" s="1365"/>
      <c r="K35" s="1365"/>
      <c r="L35" s="1365"/>
      <c r="N35" s="1356"/>
      <c r="O35" s="1353"/>
      <c r="P35" s="1356"/>
    </row>
    <row r="36" spans="1:16">
      <c r="A36" s="1366">
        <f>+A33+1</f>
        <v>12</v>
      </c>
      <c r="B36" s="1367" t="s">
        <v>1111</v>
      </c>
      <c r="D36" s="1388">
        <v>-27241044.940000001</v>
      </c>
      <c r="E36" s="1367" t="s">
        <v>628</v>
      </c>
      <c r="F36" s="1365">
        <v>-11031930.069999998</v>
      </c>
      <c r="G36" s="1365"/>
      <c r="H36" s="1371">
        <f>+F36/D36</f>
        <v>0.40497455564933249</v>
      </c>
      <c r="I36" s="1373"/>
      <c r="J36" s="1365">
        <f>-J31-J33</f>
        <v>29088672.77</v>
      </c>
      <c r="K36" s="1365"/>
      <c r="L36" s="1365">
        <f>+F36+J36</f>
        <v>18056742.700000003</v>
      </c>
      <c r="M36" s="1353" t="s">
        <v>998</v>
      </c>
      <c r="N36" s="1356">
        <f>+D36-L36</f>
        <v>-45297787.640000001</v>
      </c>
      <c r="O36" s="1353"/>
      <c r="P36" s="1356"/>
    </row>
    <row r="37" spans="1:16">
      <c r="A37" s="1366"/>
      <c r="D37" s="1388"/>
      <c r="E37" s="1356"/>
      <c r="F37" s="1373"/>
      <c r="G37" s="1373"/>
      <c r="H37" s="1371"/>
      <c r="I37" s="1373"/>
      <c r="J37" s="1365"/>
      <c r="K37" s="1365"/>
      <c r="L37" s="1365"/>
      <c r="N37" s="1356"/>
      <c r="O37" s="1353"/>
      <c r="P37" s="1356"/>
    </row>
    <row r="38" spans="1:16">
      <c r="A38" s="1366">
        <f>+A36+1</f>
        <v>13</v>
      </c>
      <c r="B38" s="1353" t="s">
        <v>119</v>
      </c>
      <c r="D38" s="1389">
        <f>+D36+D33+D31</f>
        <v>-495884288.84000003</v>
      </c>
      <c r="E38" s="1356" t="s">
        <v>1114</v>
      </c>
      <c r="F38" s="1381">
        <f>SUM(F31:F36)</f>
        <v>-197206030.30000004</v>
      </c>
      <c r="G38" s="1382"/>
      <c r="H38" s="1390"/>
      <c r="J38" s="1381">
        <f>SUM(J31:J36)</f>
        <v>0</v>
      </c>
      <c r="K38" s="1365"/>
      <c r="L38" s="1381">
        <f>SUM(L31:L36)</f>
        <v>-197206030.30000007</v>
      </c>
      <c r="N38" s="1381">
        <f>SUM(N31:N36)</f>
        <v>-298678258.53999996</v>
      </c>
      <c r="O38" s="1353"/>
      <c r="P38" s="1356"/>
    </row>
    <row r="39" spans="1:16">
      <c r="A39" s="1366"/>
      <c r="D39" s="1388"/>
      <c r="E39" s="1356"/>
      <c r="F39" s="1382"/>
      <c r="G39" s="1382"/>
      <c r="H39" s="1390"/>
      <c r="J39" s="1382"/>
      <c r="K39" s="1365"/>
      <c r="L39" s="1382"/>
      <c r="N39" s="1356"/>
      <c r="O39" s="1353"/>
      <c r="P39" s="1356"/>
    </row>
    <row r="40" spans="1:16">
      <c r="A40" s="1366"/>
      <c r="D40" s="1388"/>
      <c r="E40" s="1356"/>
      <c r="F40" s="1382"/>
      <c r="G40" s="1382"/>
      <c r="H40" s="1390"/>
      <c r="J40" s="1382"/>
      <c r="K40" s="1365"/>
      <c r="L40" s="1382"/>
      <c r="N40" s="1356"/>
      <c r="O40" s="1353"/>
      <c r="P40" s="1356"/>
    </row>
    <row r="41" spans="1:16">
      <c r="A41" s="1572" t="s">
        <v>1115</v>
      </c>
      <c r="B41" s="1572"/>
      <c r="C41" s="1572"/>
      <c r="D41" s="1572"/>
      <c r="E41" s="1572"/>
      <c r="F41" s="1572"/>
      <c r="G41" s="1572"/>
      <c r="H41" s="1572"/>
      <c r="N41" s="1356"/>
      <c r="O41" s="1353"/>
      <c r="P41" s="1356"/>
    </row>
    <row r="42" spans="1:16">
      <c r="A42" s="1572"/>
      <c r="B42" s="1572"/>
      <c r="C42" s="1572"/>
      <c r="D42" s="1572"/>
      <c r="E42" s="1572"/>
      <c r="F42" s="1572"/>
      <c r="G42" s="1572"/>
      <c r="H42" s="1572"/>
      <c r="N42" s="1356"/>
      <c r="O42" s="1353"/>
      <c r="P42" s="1356"/>
    </row>
    <row r="43" spans="1:16">
      <c r="A43" s="1572"/>
      <c r="B43" s="1572"/>
      <c r="C43" s="1572"/>
      <c r="D43" s="1572"/>
      <c r="E43" s="1572"/>
      <c r="F43" s="1572"/>
      <c r="G43" s="1572"/>
      <c r="H43" s="1572"/>
      <c r="N43" s="1356"/>
      <c r="O43" s="1353"/>
      <c r="P43" s="1356"/>
    </row>
    <row r="44" spans="1:16">
      <c r="A44" s="1572"/>
      <c r="B44" s="1572"/>
      <c r="C44" s="1572"/>
      <c r="D44" s="1572"/>
      <c r="E44" s="1572"/>
      <c r="F44" s="1572"/>
      <c r="G44" s="1572"/>
      <c r="H44" s="1572"/>
      <c r="N44" s="1356"/>
      <c r="O44" s="1353"/>
      <c r="P44" s="1356"/>
    </row>
    <row r="45" spans="1:16">
      <c r="A45" s="1366"/>
      <c r="N45" s="1356"/>
      <c r="O45" s="1353"/>
      <c r="P45" s="1356"/>
    </row>
    <row r="46" spans="1:16">
      <c r="A46" s="1352" t="s">
        <v>1116</v>
      </c>
      <c r="B46" s="1572" t="s">
        <v>1117</v>
      </c>
      <c r="C46" s="1572"/>
      <c r="D46" s="1572"/>
      <c r="E46" s="1572"/>
      <c r="F46" s="1572"/>
      <c r="G46" s="1572"/>
      <c r="H46" s="1572"/>
      <c r="N46" s="1356"/>
      <c r="O46" s="1353"/>
      <c r="P46" s="1356"/>
    </row>
    <row r="47" spans="1:16">
      <c r="B47" s="1572"/>
      <c r="C47" s="1572"/>
      <c r="D47" s="1572"/>
      <c r="E47" s="1572"/>
      <c r="F47" s="1572"/>
      <c r="G47" s="1572"/>
      <c r="H47" s="1572"/>
      <c r="N47" s="1356"/>
      <c r="O47" s="1353"/>
      <c r="P47" s="1356"/>
    </row>
    <row r="48" spans="1:16">
      <c r="B48" s="1572"/>
      <c r="C48" s="1572"/>
      <c r="D48" s="1572"/>
      <c r="E48" s="1572"/>
      <c r="F48" s="1572"/>
      <c r="G48" s="1572"/>
      <c r="H48" s="1572"/>
      <c r="N48" s="1356"/>
      <c r="O48" s="1353"/>
      <c r="P48" s="1356"/>
    </row>
    <row r="49" spans="1:14" ht="15">
      <c r="A49" s="1353"/>
      <c r="I49" s="1363"/>
      <c r="J49" s="1356"/>
      <c r="K49" s="1356"/>
      <c r="L49" s="1356"/>
      <c r="M49" s="1356"/>
      <c r="N49" s="1356"/>
    </row>
    <row r="50" spans="1:14" ht="15.6" customHeight="1">
      <c r="A50" s="1352" t="s">
        <v>1118</v>
      </c>
      <c r="B50" s="1572" t="s">
        <v>1119</v>
      </c>
      <c r="C50" s="1572"/>
      <c r="D50" s="1572"/>
      <c r="E50" s="1572"/>
      <c r="F50" s="1572"/>
      <c r="G50" s="1572"/>
      <c r="H50" s="1572"/>
      <c r="J50" s="1356"/>
      <c r="K50" s="1356"/>
      <c r="L50" s="1356"/>
      <c r="M50" s="1356"/>
      <c r="N50" s="1356"/>
    </row>
    <row r="51" spans="1:14" ht="12.6" customHeight="1">
      <c r="B51" s="1572"/>
      <c r="C51" s="1572"/>
      <c r="D51" s="1572"/>
      <c r="E51" s="1572"/>
      <c r="F51" s="1572"/>
      <c r="G51" s="1572"/>
      <c r="H51" s="1572"/>
      <c r="J51" s="1356"/>
      <c r="K51" s="1356"/>
      <c r="L51" s="1356"/>
      <c r="M51" s="1356"/>
      <c r="N51" s="1356"/>
    </row>
    <row r="52" spans="1:14" ht="12.6" customHeight="1">
      <c r="A52" s="1353"/>
      <c r="J52" s="1356"/>
      <c r="K52" s="1356"/>
      <c r="L52" s="1356"/>
      <c r="M52" s="1356"/>
      <c r="N52" s="1356"/>
    </row>
    <row r="53" spans="1:14" ht="12.6" customHeight="1">
      <c r="A53" s="1352" t="s">
        <v>1120</v>
      </c>
      <c r="B53" s="1572" t="s">
        <v>1121</v>
      </c>
      <c r="C53" s="1572"/>
      <c r="D53" s="1572"/>
      <c r="E53" s="1572"/>
      <c r="F53" s="1572"/>
      <c r="G53" s="1572"/>
      <c r="H53" s="1572"/>
      <c r="I53" s="1572"/>
      <c r="J53" s="1356"/>
      <c r="K53" s="1356"/>
      <c r="L53" s="1356"/>
      <c r="M53" s="1356"/>
      <c r="N53" s="1356"/>
    </row>
    <row r="54" spans="1:14" ht="15">
      <c r="A54" s="1391"/>
      <c r="B54" s="1572"/>
      <c r="C54" s="1572"/>
      <c r="D54" s="1572"/>
      <c r="E54" s="1572"/>
      <c r="F54" s="1572"/>
      <c r="G54" s="1572"/>
      <c r="H54" s="1572"/>
      <c r="I54" s="1572"/>
      <c r="J54" s="1356"/>
      <c r="K54" s="1356"/>
      <c r="L54" s="1356"/>
      <c r="M54" s="1356"/>
      <c r="N54" s="1356"/>
    </row>
    <row r="55" spans="1:14" ht="12.6" customHeight="1">
      <c r="A55" s="1353"/>
      <c r="J55" s="1356"/>
      <c r="K55" s="1356"/>
      <c r="L55" s="1356"/>
      <c r="M55" s="1356"/>
      <c r="N55" s="1356"/>
    </row>
    <row r="56" spans="1:14">
      <c r="A56" s="1353" t="s">
        <v>1122</v>
      </c>
      <c r="B56" s="1573" t="s">
        <v>1123</v>
      </c>
      <c r="C56" s="1573"/>
      <c r="D56" s="1573"/>
      <c r="E56" s="1573"/>
      <c r="F56" s="1573"/>
      <c r="J56" s="1356"/>
      <c r="K56" s="1356"/>
      <c r="L56" s="1356"/>
      <c r="M56" s="1356"/>
      <c r="N56" s="1356"/>
    </row>
    <row r="57" spans="1:14">
      <c r="B57" s="1573"/>
      <c r="C57" s="1573"/>
      <c r="D57" s="1573"/>
      <c r="E57" s="1573"/>
      <c r="F57" s="1573"/>
      <c r="J57" s="1356"/>
      <c r="K57" s="1356"/>
      <c r="L57" s="1356"/>
      <c r="M57" s="1356"/>
      <c r="N57" s="1356"/>
    </row>
    <row r="58" spans="1:14">
      <c r="A58" s="1353"/>
      <c r="J58" s="1356"/>
      <c r="K58" s="1356"/>
      <c r="L58" s="1356"/>
      <c r="M58" s="1356"/>
      <c r="N58" s="1356"/>
    </row>
    <row r="59" spans="1:14">
      <c r="A59" s="1353"/>
      <c r="J59" s="1356"/>
      <c r="K59" s="1356"/>
      <c r="L59" s="1356"/>
      <c r="M59" s="1356"/>
      <c r="N59" s="1356"/>
    </row>
    <row r="60" spans="1:14">
      <c r="E60" s="1392"/>
      <c r="I60" s="1356"/>
      <c r="J60" s="1356"/>
      <c r="K60" s="1356"/>
      <c r="L60" s="1356"/>
    </row>
    <row r="61" spans="1:14">
      <c r="G61" s="1393"/>
      <c r="H61" s="1393"/>
      <c r="I61" s="1356"/>
      <c r="J61" s="1356"/>
      <c r="K61" s="1356"/>
      <c r="L61" s="1356"/>
    </row>
    <row r="62" spans="1:14">
      <c r="G62" s="1393"/>
      <c r="H62" s="1393"/>
      <c r="I62" s="1356"/>
    </row>
    <row r="63" spans="1:14" ht="9.9499999999999993" customHeight="1"/>
    <row r="66" spans="1:16" ht="15">
      <c r="A66" s="1391"/>
      <c r="B66" s="1363"/>
      <c r="C66" s="1363"/>
      <c r="D66" s="1363"/>
      <c r="E66" s="1363"/>
      <c r="F66" s="1363"/>
      <c r="G66" s="1363"/>
      <c r="H66" s="1363"/>
      <c r="I66" s="1363"/>
      <c r="J66" s="1363"/>
      <c r="K66" s="1363"/>
      <c r="L66" s="1363"/>
      <c r="M66" s="1363"/>
      <c r="N66" s="1363"/>
      <c r="O66" s="1363"/>
    </row>
    <row r="67" spans="1:16" ht="15">
      <c r="A67" s="1391"/>
      <c r="B67" s="1363"/>
      <c r="C67" s="1363"/>
      <c r="D67" s="1363"/>
      <c r="E67" s="1363"/>
      <c r="F67" s="1363"/>
      <c r="G67" s="1363"/>
      <c r="H67" s="1363"/>
      <c r="I67" s="1363"/>
      <c r="J67" s="1363"/>
      <c r="K67" s="1363"/>
      <c r="L67" s="1363"/>
      <c r="M67" s="1363"/>
      <c r="N67" s="1363"/>
      <c r="O67" s="1363"/>
    </row>
    <row r="68" spans="1:16" ht="15">
      <c r="A68" s="1391"/>
      <c r="B68" s="1363"/>
      <c r="C68" s="1363"/>
      <c r="D68" s="1363"/>
      <c r="E68" s="1363"/>
      <c r="F68" s="1363"/>
      <c r="G68" s="1363"/>
      <c r="H68" s="1363"/>
      <c r="I68" s="1363"/>
      <c r="J68" s="1363"/>
      <c r="K68" s="1363"/>
      <c r="L68" s="1363"/>
      <c r="M68" s="1363"/>
      <c r="N68" s="1363"/>
      <c r="O68" s="1363"/>
    </row>
    <row r="69" spans="1:16" ht="15">
      <c r="A69" s="1391"/>
      <c r="B69" s="1363"/>
      <c r="C69" s="1363"/>
      <c r="D69" s="1363"/>
      <c r="E69" s="1363"/>
      <c r="F69" s="1363"/>
      <c r="G69" s="1363"/>
      <c r="H69" s="1363"/>
      <c r="I69" s="1363"/>
      <c r="J69" s="1363"/>
      <c r="K69" s="1363"/>
      <c r="L69" s="1363"/>
      <c r="M69" s="1363"/>
      <c r="N69" s="1363"/>
      <c r="O69" s="1363"/>
      <c r="P69" s="1356"/>
    </row>
    <row r="70" spans="1:16" ht="15">
      <c r="A70" s="1391"/>
      <c r="B70" s="1363"/>
      <c r="C70" s="1363"/>
      <c r="D70" s="1363"/>
      <c r="E70" s="1363"/>
      <c r="F70" s="1363"/>
      <c r="G70" s="1363"/>
      <c r="H70" s="1363"/>
      <c r="I70" s="1363"/>
      <c r="J70" s="1363"/>
      <c r="K70" s="1363"/>
      <c r="L70" s="1363"/>
      <c r="M70" s="1363"/>
      <c r="N70" s="1363"/>
      <c r="O70" s="1363"/>
      <c r="P70" s="1356"/>
    </row>
    <row r="71" spans="1:16" ht="15">
      <c r="A71" s="1391"/>
      <c r="B71" s="1363"/>
      <c r="C71" s="1363"/>
      <c r="D71" s="1363"/>
      <c r="E71" s="1363"/>
      <c r="F71" s="1363"/>
      <c r="G71" s="1363"/>
      <c r="H71" s="1363"/>
      <c r="I71" s="1363"/>
      <c r="J71" s="1363"/>
      <c r="K71" s="1363"/>
      <c r="L71" s="1363"/>
      <c r="M71" s="1363"/>
      <c r="N71" s="1363"/>
      <c r="O71" s="1363"/>
      <c r="P71" s="1356"/>
    </row>
    <row r="72" spans="1:16" ht="15">
      <c r="A72" s="1391"/>
      <c r="B72" s="1363"/>
      <c r="C72" s="1363"/>
      <c r="D72" s="1363"/>
      <c r="E72" s="1363"/>
      <c r="F72" s="1363"/>
      <c r="G72" s="1363"/>
      <c r="H72" s="1363"/>
      <c r="I72" s="1363"/>
      <c r="J72" s="1363"/>
      <c r="K72" s="1363"/>
      <c r="L72" s="1363"/>
      <c r="M72" s="1363"/>
      <c r="N72" s="1363"/>
      <c r="O72" s="1363"/>
      <c r="P72" s="1356"/>
    </row>
    <row r="73" spans="1:16" ht="15">
      <c r="A73" s="1391"/>
      <c r="B73" s="1363"/>
      <c r="C73" s="1363"/>
      <c r="D73" s="1363"/>
      <c r="E73" s="1363"/>
      <c r="F73" s="1363"/>
      <c r="G73" s="1363"/>
      <c r="H73" s="1363"/>
      <c r="I73" s="1363"/>
      <c r="J73" s="1363"/>
      <c r="K73" s="1363"/>
      <c r="L73" s="1363"/>
      <c r="M73" s="1363"/>
      <c r="N73" s="1363"/>
      <c r="O73" s="1363"/>
      <c r="P73" s="1356"/>
    </row>
    <row r="74" spans="1:16" ht="15">
      <c r="A74" s="1391"/>
      <c r="B74" s="1363"/>
      <c r="C74" s="1363"/>
      <c r="D74" s="1363"/>
      <c r="E74" s="1363"/>
      <c r="F74" s="1363"/>
      <c r="G74" s="1363"/>
      <c r="H74" s="1363"/>
      <c r="I74" s="1363"/>
      <c r="J74" s="1363"/>
      <c r="K74" s="1363"/>
      <c r="L74" s="1363"/>
      <c r="M74" s="1363"/>
      <c r="N74" s="1363"/>
      <c r="O74" s="1363"/>
      <c r="P74" s="1356"/>
    </row>
    <row r="75" spans="1:16" ht="15">
      <c r="A75" s="1391"/>
      <c r="B75" s="1363"/>
      <c r="C75" s="1363"/>
      <c r="D75" s="1363"/>
      <c r="E75" s="1363"/>
      <c r="F75" s="1363"/>
      <c r="G75" s="1363"/>
      <c r="H75" s="1363"/>
      <c r="I75" s="1363"/>
      <c r="J75" s="1363"/>
      <c r="K75" s="1363"/>
      <c r="L75" s="1363"/>
      <c r="M75" s="1363"/>
      <c r="N75" s="1363"/>
      <c r="O75" s="1363"/>
      <c r="P75" s="1356"/>
    </row>
    <row r="76" spans="1:16" ht="15">
      <c r="A76" s="1391"/>
      <c r="B76" s="1363"/>
      <c r="C76" s="1363"/>
      <c r="D76" s="1363"/>
      <c r="E76" s="1363"/>
      <c r="F76" s="1363"/>
      <c r="G76" s="1363"/>
      <c r="H76" s="1363"/>
      <c r="I76" s="1363"/>
      <c r="J76" s="1363"/>
      <c r="K76" s="1363"/>
      <c r="L76" s="1363"/>
      <c r="M76" s="1363"/>
      <c r="N76" s="1363"/>
      <c r="O76" s="1363"/>
      <c r="P76" s="1356"/>
    </row>
    <row r="77" spans="1:16" ht="15">
      <c r="A77" s="1391"/>
      <c r="B77" s="1363"/>
      <c r="C77" s="1363"/>
      <c r="D77" s="1363"/>
      <c r="E77" s="1363"/>
      <c r="F77" s="1363"/>
      <c r="G77" s="1363"/>
      <c r="H77" s="1363"/>
      <c r="I77" s="1363"/>
      <c r="J77" s="1363"/>
      <c r="K77" s="1363"/>
      <c r="L77" s="1363"/>
      <c r="M77" s="1363"/>
      <c r="N77" s="1363"/>
      <c r="O77" s="1363"/>
      <c r="P77" s="1356"/>
    </row>
    <row r="78" spans="1:16" ht="15">
      <c r="A78" s="1391"/>
      <c r="B78" s="1363"/>
      <c r="C78" s="1363"/>
      <c r="D78" s="1363"/>
      <c r="E78" s="1363"/>
      <c r="F78" s="1363"/>
      <c r="G78" s="1363"/>
      <c r="H78" s="1363"/>
      <c r="I78" s="1363"/>
      <c r="J78" s="1363"/>
      <c r="K78" s="1363"/>
      <c r="L78" s="1363"/>
      <c r="M78" s="1363"/>
      <c r="N78" s="1363"/>
      <c r="O78" s="1363"/>
    </row>
  </sheetData>
  <mergeCells count="8">
    <mergeCell ref="B53:I54"/>
    <mergeCell ref="B56:F57"/>
    <mergeCell ref="A7:N7"/>
    <mergeCell ref="Q9:Q10"/>
    <mergeCell ref="I19:I20"/>
    <mergeCell ref="A41:H44"/>
    <mergeCell ref="B46:H48"/>
    <mergeCell ref="B50:H51"/>
  </mergeCells>
  <pageMargins left="0.7" right="0.7" top="0.75" bottom="0.75" header="0.3" footer="0.3"/>
  <pageSetup scale="6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66638-4B31-4BAE-ACA7-E1D8F951D731}">
  <dimension ref="A1:Q87"/>
  <sheetViews>
    <sheetView topLeftCell="A19" workbookViewId="0">
      <selection activeCell="F35" sqref="F35"/>
    </sheetView>
  </sheetViews>
  <sheetFormatPr defaultRowHeight="12.75"/>
  <cols>
    <col min="4" max="4" width="24" customWidth="1"/>
    <col min="5" max="5" width="25.140625" customWidth="1"/>
    <col min="6" max="6" width="25.28515625" customWidth="1"/>
    <col min="7" max="7" width="4.42578125" customWidth="1"/>
    <col min="8" max="8" width="20.28515625" customWidth="1"/>
    <col min="9" max="9" width="4.5703125" customWidth="1"/>
    <col min="10" max="10" width="19.85546875" customWidth="1"/>
    <col min="12" max="12" width="19.140625" customWidth="1"/>
    <col min="13" max="13" width="17.85546875" customWidth="1"/>
    <col min="14" max="14" width="20" customWidth="1"/>
  </cols>
  <sheetData>
    <row r="1" spans="1:17" ht="15.75">
      <c r="A1" s="1352" t="s">
        <v>1075</v>
      </c>
      <c r="B1" s="1394"/>
      <c r="C1" s="1394"/>
      <c r="D1" s="1394"/>
      <c r="E1" s="1394"/>
      <c r="F1" s="1394"/>
      <c r="G1" s="1394"/>
      <c r="H1" s="1394"/>
      <c r="I1" s="1394"/>
      <c r="J1" s="1394"/>
      <c r="K1" s="1394"/>
      <c r="L1" s="1354"/>
      <c r="M1" s="1394"/>
      <c r="N1" s="1355"/>
      <c r="O1" s="1394"/>
      <c r="P1" s="1394"/>
      <c r="Q1" s="1394"/>
    </row>
    <row r="2" spans="1:17" ht="15">
      <c r="A2" s="1352" t="s">
        <v>1077</v>
      </c>
      <c r="B2" s="1394"/>
      <c r="C2" s="1394"/>
      <c r="D2" s="1394"/>
      <c r="E2" s="1394"/>
      <c r="F2" s="1394"/>
      <c r="G2" s="1394"/>
      <c r="H2" s="1394"/>
      <c r="I2" s="1394"/>
      <c r="J2" s="1394"/>
      <c r="K2" s="1394"/>
      <c r="L2" s="1357"/>
      <c r="M2" s="1394"/>
      <c r="N2" s="1358"/>
      <c r="O2" s="1394"/>
      <c r="P2" s="1394"/>
      <c r="Q2" s="1394"/>
    </row>
    <row r="3" spans="1:17" ht="15">
      <c r="A3" s="1352" t="s">
        <v>1079</v>
      </c>
      <c r="B3" s="1394"/>
      <c r="C3" s="1394"/>
      <c r="D3" s="1394"/>
      <c r="E3" s="1394"/>
      <c r="F3" s="1394"/>
      <c r="G3" s="1394"/>
      <c r="H3" s="1394"/>
      <c r="I3" s="1394"/>
      <c r="J3" s="1394"/>
      <c r="K3" s="1394"/>
      <c r="L3" s="1394"/>
      <c r="M3" s="1394"/>
      <c r="N3" s="1358"/>
      <c r="O3" s="1394"/>
      <c r="P3" s="1394"/>
      <c r="Q3" s="1394"/>
    </row>
    <row r="4" spans="1:17" ht="15">
      <c r="A4" s="1352" t="s">
        <v>1124</v>
      </c>
      <c r="B4" s="1394"/>
      <c r="C4" s="1394"/>
      <c r="D4" s="1394"/>
      <c r="E4" s="1394"/>
      <c r="F4" s="1394"/>
      <c r="G4" s="1394"/>
      <c r="H4" s="1394"/>
      <c r="I4" s="1394"/>
      <c r="J4" s="1394"/>
      <c r="K4" s="1394"/>
      <c r="L4" s="1394"/>
      <c r="M4" s="1394"/>
      <c r="N4" s="1355"/>
      <c r="O4" s="1394"/>
      <c r="P4" s="1394"/>
      <c r="Q4" s="1394"/>
    </row>
    <row r="5" spans="1:17" ht="15">
      <c r="A5" s="1352" t="s">
        <v>1083</v>
      </c>
      <c r="B5" s="1394"/>
      <c r="C5" s="1394"/>
      <c r="D5" s="1394"/>
      <c r="E5" s="1394"/>
      <c r="F5" s="1394"/>
      <c r="G5" s="1394"/>
      <c r="H5" s="1394"/>
      <c r="I5" s="1394"/>
      <c r="J5" s="1394"/>
      <c r="K5" s="1394"/>
      <c r="L5" s="1394"/>
      <c r="M5" s="1394"/>
      <c r="N5" s="1394"/>
      <c r="O5" s="1394"/>
      <c r="P5" s="1394"/>
      <c r="Q5" s="1394"/>
    </row>
    <row r="6" spans="1:17" ht="15">
      <c r="A6" s="1352" t="s">
        <v>961</v>
      </c>
      <c r="B6" s="1394"/>
      <c r="C6" s="1394"/>
      <c r="D6" s="1394"/>
      <c r="E6" s="1394"/>
      <c r="F6" s="1394"/>
      <c r="G6" s="1394"/>
      <c r="H6" s="1394"/>
      <c r="I6" s="1394"/>
      <c r="J6" s="1394"/>
      <c r="K6" s="1394"/>
      <c r="L6" s="1394"/>
      <c r="M6" s="1394"/>
      <c r="N6" s="1394"/>
      <c r="O6" s="1394"/>
      <c r="P6" s="1394"/>
      <c r="Q6" s="1394"/>
    </row>
    <row r="7" spans="1:17" ht="15">
      <c r="A7" s="1574" t="s">
        <v>1125</v>
      </c>
      <c r="B7" s="1574"/>
      <c r="C7" s="1574"/>
      <c r="D7" s="1574"/>
      <c r="E7" s="1574"/>
      <c r="F7" s="1574"/>
      <c r="G7" s="1574"/>
      <c r="H7" s="1574"/>
      <c r="I7" s="1574"/>
      <c r="J7" s="1574"/>
      <c r="K7" s="1574"/>
      <c r="L7" s="1574"/>
      <c r="M7" s="1574"/>
      <c r="N7" s="1574"/>
      <c r="O7" s="1394"/>
      <c r="P7" s="1394"/>
      <c r="Q7" s="1394"/>
    </row>
    <row r="9" spans="1:17" ht="15">
      <c r="A9" s="1359" t="s">
        <v>149</v>
      </c>
      <c r="B9" s="1360" t="s">
        <v>150</v>
      </c>
      <c r="C9" s="1360"/>
      <c r="D9" s="1395" t="s">
        <v>151</v>
      </c>
      <c r="E9" s="1360" t="s">
        <v>152</v>
      </c>
      <c r="F9" s="1360" t="s">
        <v>153</v>
      </c>
      <c r="G9" s="1360"/>
      <c r="H9" s="1360" t="s">
        <v>1085</v>
      </c>
      <c r="I9" s="1360"/>
      <c r="J9" s="1360" t="s">
        <v>155</v>
      </c>
      <c r="K9" s="1360"/>
      <c r="L9" s="1360" t="s">
        <v>1086</v>
      </c>
      <c r="M9" s="1360" t="s">
        <v>157</v>
      </c>
      <c r="N9" s="1360" t="s">
        <v>1087</v>
      </c>
      <c r="O9" s="1394"/>
      <c r="P9" s="1394"/>
      <c r="Q9" s="1575"/>
    </row>
    <row r="10" spans="1:17" ht="15">
      <c r="A10" s="1394"/>
      <c r="B10" s="1394"/>
      <c r="C10" s="1394"/>
      <c r="D10" s="1394"/>
      <c r="E10" s="1394"/>
      <c r="F10" s="1361"/>
      <c r="G10" s="1361"/>
      <c r="H10" s="1361"/>
      <c r="I10" s="1394"/>
      <c r="J10" s="1394"/>
      <c r="K10" s="1394"/>
      <c r="L10" s="1394"/>
      <c r="M10" s="1394"/>
      <c r="N10" s="1394"/>
      <c r="O10" s="1394"/>
      <c r="P10" s="1394"/>
      <c r="Q10" s="1575"/>
    </row>
    <row r="11" spans="1:17" ht="39">
      <c r="A11" s="1352" t="s">
        <v>1088</v>
      </c>
      <c r="B11" s="1353" t="s">
        <v>1089</v>
      </c>
      <c r="C11" s="1394"/>
      <c r="D11" s="1396" t="s">
        <v>1126</v>
      </c>
      <c r="E11" s="1360" t="s">
        <v>980</v>
      </c>
      <c r="F11" s="1362" t="s">
        <v>1091</v>
      </c>
      <c r="G11" s="1362"/>
      <c r="H11" s="1362" t="s">
        <v>1092</v>
      </c>
      <c r="I11" s="1363"/>
      <c r="J11" s="1362" t="s">
        <v>1093</v>
      </c>
      <c r="K11" s="1353"/>
      <c r="L11" s="1362" t="s">
        <v>1094</v>
      </c>
      <c r="M11" s="1362" t="s">
        <v>1095</v>
      </c>
      <c r="N11" s="1362" t="s">
        <v>1096</v>
      </c>
      <c r="O11" s="1394"/>
      <c r="P11" s="1394"/>
      <c r="Q11" s="1394"/>
    </row>
    <row r="12" spans="1:17" ht="15.75">
      <c r="A12" s="1394"/>
      <c r="B12" s="1394"/>
      <c r="C12" s="1394"/>
      <c r="D12" s="1396"/>
      <c r="E12" s="1360"/>
      <c r="F12" s="1362"/>
      <c r="G12" s="1362"/>
      <c r="H12" s="1362"/>
      <c r="I12" s="1363"/>
      <c r="J12" s="1362"/>
      <c r="K12" s="1353"/>
      <c r="L12" s="1362"/>
      <c r="M12" s="1394"/>
      <c r="N12" s="1361"/>
      <c r="O12" s="1394"/>
      <c r="P12" s="1394"/>
      <c r="Q12" s="1394"/>
    </row>
    <row r="13" spans="1:17" ht="15.75">
      <c r="A13" s="1364" t="s">
        <v>1097</v>
      </c>
      <c r="B13" s="1394"/>
      <c r="C13" s="1394"/>
      <c r="D13" s="1396"/>
      <c r="E13" s="1360"/>
      <c r="F13" s="1362"/>
      <c r="G13" s="1362"/>
      <c r="H13" s="1362"/>
      <c r="I13" s="1363"/>
      <c r="J13" s="1362"/>
      <c r="K13" s="1353"/>
      <c r="L13" s="1362"/>
      <c r="M13" s="1394"/>
      <c r="N13" s="1361"/>
      <c r="O13" s="1394"/>
      <c r="P13" s="1394"/>
      <c r="Q13" s="1394"/>
    </row>
    <row r="14" spans="1:17" ht="15">
      <c r="A14" s="1394"/>
      <c r="B14" s="1394"/>
      <c r="C14" s="1394"/>
      <c r="D14" s="1397"/>
      <c r="E14" s="1356"/>
      <c r="F14" s="1365"/>
      <c r="G14" s="1365"/>
      <c r="H14" s="1365"/>
      <c r="I14" s="1365"/>
      <c r="J14" s="1365"/>
      <c r="K14" s="1365"/>
      <c r="L14" s="1365"/>
      <c r="M14" s="1356"/>
      <c r="N14" s="1356"/>
      <c r="O14" s="1394"/>
      <c r="P14" s="1394"/>
      <c r="Q14" s="1394"/>
    </row>
    <row r="15" spans="1:17" ht="15">
      <c r="A15" s="1366">
        <v>1</v>
      </c>
      <c r="B15" s="1367" t="s">
        <v>1127</v>
      </c>
      <c r="C15" s="1394"/>
      <c r="D15" s="1368">
        <v>-744125741</v>
      </c>
      <c r="E15" s="1356" t="s">
        <v>1128</v>
      </c>
      <c r="F15" s="1353"/>
      <c r="G15" s="1353"/>
      <c r="H15" s="1353"/>
      <c r="I15" s="1353"/>
      <c r="J15" s="1353"/>
      <c r="K15" s="1353"/>
      <c r="L15" s="1353"/>
      <c r="M15" s="1394"/>
      <c r="N15" s="1356"/>
      <c r="O15" s="1394"/>
      <c r="P15" s="1394"/>
      <c r="Q15" s="1394"/>
    </row>
    <row r="16" spans="1:17" ht="15.75">
      <c r="A16" s="1366">
        <v>2</v>
      </c>
      <c r="B16" s="1367"/>
      <c r="C16" s="1394"/>
      <c r="D16" s="1398">
        <v>0.43256499999999998</v>
      </c>
      <c r="E16" s="1356" t="s">
        <v>1129</v>
      </c>
      <c r="F16" s="1363"/>
      <c r="G16" s="1363"/>
      <c r="H16" s="1370"/>
      <c r="I16" s="1363"/>
      <c r="J16" s="1363"/>
      <c r="K16" s="1363"/>
      <c r="L16" s="1363"/>
      <c r="M16" s="1356"/>
      <c r="N16" s="1356"/>
      <c r="O16" s="1394"/>
      <c r="P16" s="1394"/>
      <c r="Q16" s="1394"/>
    </row>
    <row r="17" spans="1:16" ht="15.75">
      <c r="A17" s="1366">
        <v>3</v>
      </c>
      <c r="B17" s="1367"/>
      <c r="C17" s="1394"/>
      <c r="D17" s="1399">
        <v>6.5000000000000002E-2</v>
      </c>
      <c r="E17" s="1356" t="s">
        <v>1130</v>
      </c>
      <c r="F17" s="1363"/>
      <c r="G17" s="1363"/>
      <c r="H17" s="1370"/>
      <c r="I17" s="1363"/>
      <c r="J17" s="1363"/>
      <c r="K17" s="1363"/>
      <c r="L17" s="1363"/>
      <c r="M17" s="1356"/>
      <c r="N17" s="1356"/>
      <c r="O17" s="1394"/>
      <c r="P17" s="1394"/>
    </row>
    <row r="18" spans="1:16" ht="15.75">
      <c r="A18" s="1366">
        <v>4</v>
      </c>
      <c r="B18" s="1367"/>
      <c r="C18" s="1394"/>
      <c r="D18" s="1400">
        <v>-20922378.825118225</v>
      </c>
      <c r="E18" s="1353" t="s">
        <v>1131</v>
      </c>
      <c r="F18" s="1363"/>
      <c r="G18" s="1363"/>
      <c r="H18" s="1370"/>
      <c r="I18" s="1363"/>
      <c r="J18" s="1363"/>
      <c r="K18" s="1363"/>
      <c r="L18" s="1363"/>
      <c r="M18" s="1356"/>
      <c r="N18" s="1356"/>
      <c r="O18" s="1394"/>
      <c r="P18" s="1394"/>
    </row>
    <row r="19" spans="1:16" ht="15.75">
      <c r="A19" s="1366">
        <v>5</v>
      </c>
      <c r="B19" s="1367"/>
      <c r="C19" s="1394"/>
      <c r="D19" s="1400"/>
      <c r="E19" s="1394"/>
      <c r="F19" s="1363"/>
      <c r="G19" s="1363"/>
      <c r="H19" s="1370"/>
      <c r="I19" s="1363"/>
      <c r="J19" s="1363"/>
      <c r="K19" s="1363"/>
      <c r="L19" s="1363"/>
      <c r="M19" s="1356"/>
      <c r="N19" s="1356"/>
      <c r="O19" s="1394"/>
      <c r="P19" s="1394"/>
    </row>
    <row r="20" spans="1:16" ht="15.75">
      <c r="A20" s="1366">
        <v>6</v>
      </c>
      <c r="B20" s="1367"/>
      <c r="C20" s="1394"/>
      <c r="D20" s="1400">
        <v>-744125741</v>
      </c>
      <c r="E20" s="1356" t="s">
        <v>1128</v>
      </c>
      <c r="F20" s="1363"/>
      <c r="G20" s="1363"/>
      <c r="H20" s="1370"/>
      <c r="I20" s="1363"/>
      <c r="J20" s="1363"/>
      <c r="K20" s="1363"/>
      <c r="L20" s="1363"/>
      <c r="M20" s="1356"/>
      <c r="N20" s="1356"/>
      <c r="O20" s="1394"/>
      <c r="P20" s="1394"/>
    </row>
    <row r="21" spans="1:16" ht="15.75">
      <c r="A21" s="1366">
        <v>7</v>
      </c>
      <c r="B21" s="1367"/>
      <c r="C21" s="1394"/>
      <c r="D21" s="1398">
        <v>0.52269500000000002</v>
      </c>
      <c r="E21" s="1356" t="s">
        <v>1132</v>
      </c>
      <c r="F21" s="1363"/>
      <c r="G21" s="1363"/>
      <c r="H21" s="1370"/>
      <c r="I21" s="1363"/>
      <c r="J21" s="1363"/>
      <c r="K21" s="1363"/>
      <c r="L21" s="1363"/>
      <c r="M21" s="1356"/>
      <c r="N21" s="1356"/>
      <c r="O21" s="1394"/>
      <c r="P21" s="1394"/>
    </row>
    <row r="22" spans="1:16" ht="15.75">
      <c r="A22" s="1366">
        <v>8</v>
      </c>
      <c r="B22" s="1367"/>
      <c r="C22" s="1394"/>
      <c r="D22" s="1399">
        <v>6.5000000000000002E-2</v>
      </c>
      <c r="E22" s="1356" t="s">
        <v>1130</v>
      </c>
      <c r="F22" s="1363"/>
      <c r="G22" s="1363"/>
      <c r="H22" s="1370"/>
      <c r="I22" s="1363"/>
      <c r="J22" s="1363"/>
      <c r="K22" s="1363"/>
      <c r="L22" s="1363"/>
      <c r="M22" s="1356"/>
      <c r="N22" s="1356"/>
      <c r="O22" s="1394"/>
      <c r="P22" s="1394"/>
    </row>
    <row r="23" spans="1:16" ht="15.75">
      <c r="A23" s="1366">
        <v>9</v>
      </c>
      <c r="B23" s="1367"/>
      <c r="C23" s="1394"/>
      <c r="D23" s="1400">
        <v>-25281802.272479676</v>
      </c>
      <c r="E23" s="1353" t="s">
        <v>1133</v>
      </c>
      <c r="F23" s="1363"/>
      <c r="G23" s="1363"/>
      <c r="H23" s="1370"/>
      <c r="I23" s="1363"/>
      <c r="J23" s="1363"/>
      <c r="K23" s="1363"/>
      <c r="L23" s="1363"/>
      <c r="M23" s="1356"/>
      <c r="N23" s="1356"/>
      <c r="O23" s="1394"/>
      <c r="P23" s="1394"/>
    </row>
    <row r="24" spans="1:16" ht="15">
      <c r="A24" s="1366">
        <v>10</v>
      </c>
      <c r="B24" s="1367"/>
      <c r="C24" s="1394"/>
      <c r="D24" s="1401"/>
      <c r="E24" s="1394"/>
      <c r="F24" s="1365"/>
      <c r="G24" s="1365"/>
      <c r="H24" s="1371"/>
      <c r="I24" s="1372"/>
      <c r="J24" s="1365"/>
      <c r="K24" s="1365"/>
      <c r="L24" s="1365"/>
      <c r="M24" s="1356"/>
      <c r="N24" s="1356">
        <v>0</v>
      </c>
      <c r="O24" s="1394"/>
      <c r="P24" s="1394"/>
    </row>
    <row r="25" spans="1:16" ht="15">
      <c r="A25" s="1366">
        <v>11</v>
      </c>
      <c r="B25" s="1367"/>
      <c r="C25" s="1394"/>
      <c r="D25" s="1402">
        <v>4359423.4473614506</v>
      </c>
      <c r="E25" s="1353" t="s">
        <v>1134</v>
      </c>
      <c r="F25" s="1403">
        <v>4359423.4473614506</v>
      </c>
      <c r="G25" s="1373"/>
      <c r="H25" s="1371">
        <v>-0.17243325457484768</v>
      </c>
      <c r="I25" s="1372"/>
      <c r="J25" s="1365">
        <v>0</v>
      </c>
      <c r="K25" s="1365"/>
      <c r="L25" s="1365">
        <v>4359423.4473614506</v>
      </c>
      <c r="M25" s="1356" t="s">
        <v>998</v>
      </c>
      <c r="N25" s="1356">
        <v>-20922378.825118225</v>
      </c>
      <c r="O25" s="1394"/>
      <c r="P25" s="1394"/>
    </row>
    <row r="26" spans="1:16" ht="15">
      <c r="A26" s="1366">
        <v>12</v>
      </c>
      <c r="B26" s="1367"/>
      <c r="C26" s="1394"/>
      <c r="D26" s="1401"/>
      <c r="E26" s="1353" t="s">
        <v>1135</v>
      </c>
      <c r="F26" s="1365">
        <v>-915478.92394590459</v>
      </c>
      <c r="G26" s="1365"/>
      <c r="H26" s="1371"/>
      <c r="I26" s="1404"/>
      <c r="J26" s="1365">
        <v>0</v>
      </c>
      <c r="K26" s="1365"/>
      <c r="L26" s="1365">
        <v>-915478.92394590459</v>
      </c>
      <c r="M26" s="1356" t="s">
        <v>998</v>
      </c>
      <c r="N26" s="1356">
        <v>0</v>
      </c>
      <c r="O26" s="1394"/>
      <c r="P26" s="1394"/>
    </row>
    <row r="27" spans="1:16" ht="15">
      <c r="A27" s="1366">
        <v>13</v>
      </c>
      <c r="B27" s="1367"/>
      <c r="C27" s="1394"/>
      <c r="D27" s="1397"/>
      <c r="E27" s="1394"/>
      <c r="F27" s="1365"/>
      <c r="G27" s="1365"/>
      <c r="H27" s="1371"/>
      <c r="I27" s="1378"/>
      <c r="J27" s="1365"/>
      <c r="K27" s="1365"/>
      <c r="L27" s="1365"/>
      <c r="M27" s="1356"/>
      <c r="N27" s="1356"/>
      <c r="O27" s="1394"/>
      <c r="P27" s="1394"/>
    </row>
    <row r="28" spans="1:16" ht="15">
      <c r="A28" s="1366">
        <v>14</v>
      </c>
      <c r="B28" s="1394"/>
      <c r="C28" s="1394"/>
      <c r="D28" s="1394"/>
      <c r="E28" s="1356"/>
      <c r="F28" s="1365"/>
      <c r="G28" s="1365"/>
      <c r="H28" s="1374"/>
      <c r="I28" s="1379"/>
      <c r="J28" s="1365"/>
      <c r="K28" s="1365"/>
      <c r="L28" s="1365"/>
      <c r="M28" s="1356"/>
      <c r="N28" s="1356"/>
      <c r="O28" s="1394"/>
      <c r="P28" s="1394"/>
    </row>
    <row r="29" spans="1:16" ht="15">
      <c r="A29" s="1366">
        <v>15</v>
      </c>
      <c r="B29" s="1353" t="s">
        <v>119</v>
      </c>
      <c r="C29" s="1394"/>
      <c r="D29" s="1405">
        <v>-25281802.272479676</v>
      </c>
      <c r="E29" s="1356" t="s">
        <v>1136</v>
      </c>
      <c r="F29" s="1381">
        <v>3443944.5234155459</v>
      </c>
      <c r="G29" s="1382"/>
      <c r="H29" s="1383"/>
      <c r="I29" s="1353"/>
      <c r="J29" s="1381">
        <v>0</v>
      </c>
      <c r="K29" s="1365"/>
      <c r="L29" s="1381">
        <v>3443944.5234155459</v>
      </c>
      <c r="M29" s="1356"/>
      <c r="N29" s="1381">
        <v>-20922378.825118225</v>
      </c>
      <c r="O29" s="1394"/>
      <c r="P29" s="1394"/>
    </row>
    <row r="30" spans="1:16" ht="15">
      <c r="A30" s="1366"/>
      <c r="B30" s="1394"/>
      <c r="C30" s="1394"/>
      <c r="D30" s="1397"/>
      <c r="E30" s="1384"/>
      <c r="F30" s="1373"/>
      <c r="G30" s="1373"/>
      <c r="H30" s="1371"/>
      <c r="I30" s="1365"/>
      <c r="J30" s="1365"/>
      <c r="K30" s="1365"/>
      <c r="L30" s="1365"/>
      <c r="M30" s="1356"/>
      <c r="N30" s="1356"/>
      <c r="O30" s="1394"/>
      <c r="P30" s="1394"/>
    </row>
    <row r="31" spans="1:16" ht="15">
      <c r="A31" s="1385" t="s">
        <v>1113</v>
      </c>
      <c r="B31" s="1394"/>
      <c r="C31" s="1394"/>
      <c r="D31" s="1397"/>
      <c r="E31" s="1356"/>
      <c r="F31" s="1373"/>
      <c r="G31" s="1373"/>
      <c r="H31" s="1371"/>
      <c r="I31" s="1373"/>
      <c r="J31" s="1365"/>
      <c r="K31" s="1365"/>
      <c r="L31" s="1365"/>
      <c r="M31" s="1356"/>
      <c r="N31" s="1356"/>
      <c r="O31" s="1394"/>
      <c r="P31" s="1356"/>
    </row>
    <row r="32" spans="1:16" ht="15.75">
      <c r="A32" s="1366"/>
      <c r="B32" s="1394"/>
      <c r="C32" s="1394"/>
      <c r="D32" s="1394"/>
      <c r="E32" s="1394"/>
      <c r="F32" s="1379"/>
      <c r="G32" s="1379"/>
      <c r="H32" s="1371"/>
      <c r="I32" s="1353"/>
      <c r="J32" s="1363"/>
      <c r="K32" s="1365"/>
      <c r="L32" s="1365"/>
      <c r="M32" s="1394"/>
      <c r="N32" s="1356"/>
      <c r="O32" s="1394"/>
      <c r="P32" s="1356"/>
    </row>
    <row r="33" spans="1:16" ht="15">
      <c r="A33" s="1366">
        <v>16</v>
      </c>
      <c r="B33" s="1367" t="s">
        <v>1127</v>
      </c>
      <c r="C33" s="1394"/>
      <c r="D33" s="1368">
        <v>-156132408</v>
      </c>
      <c r="E33" s="1356" t="s">
        <v>1128</v>
      </c>
      <c r="F33" s="1353"/>
      <c r="G33" s="1353"/>
      <c r="H33" s="1353"/>
      <c r="I33" s="1353"/>
      <c r="J33" s="1353"/>
      <c r="K33" s="1353"/>
      <c r="L33" s="1353"/>
      <c r="M33" s="1394"/>
      <c r="N33" s="1356"/>
      <c r="O33" s="1394"/>
      <c r="P33" s="1356"/>
    </row>
    <row r="34" spans="1:16" ht="15.75">
      <c r="A34" s="1366">
        <v>17</v>
      </c>
      <c r="B34" s="1394"/>
      <c r="C34" s="1394"/>
      <c r="D34" s="1398">
        <v>0.43256499999999998</v>
      </c>
      <c r="E34" s="1356" t="s">
        <v>1129</v>
      </c>
      <c r="F34" s="1363"/>
      <c r="G34" s="1363"/>
      <c r="H34" s="1370"/>
      <c r="I34" s="1363"/>
      <c r="J34" s="1363"/>
      <c r="K34" s="1363"/>
      <c r="L34" s="1363"/>
      <c r="M34" s="1356"/>
      <c r="N34" s="1356"/>
      <c r="O34" s="1394"/>
      <c r="P34" s="1356"/>
    </row>
    <row r="35" spans="1:16" ht="15.75">
      <c r="A35" s="1366">
        <v>18</v>
      </c>
      <c r="B35" s="1394"/>
      <c r="C35" s="1394"/>
      <c r="D35" s="1399">
        <v>6.5000000000000002E-2</v>
      </c>
      <c r="E35" s="1356" t="s">
        <v>1130</v>
      </c>
      <c r="F35" s="1363"/>
      <c r="G35" s="1363"/>
      <c r="H35" s="1370"/>
      <c r="I35" s="1363"/>
      <c r="J35" s="1363"/>
      <c r="K35" s="1363"/>
      <c r="L35" s="1363"/>
      <c r="M35" s="1356"/>
      <c r="N35" s="1356"/>
      <c r="O35" s="1394"/>
      <c r="P35" s="1356"/>
    </row>
    <row r="36" spans="1:16" ht="15.75">
      <c r="A36" s="1366">
        <v>19</v>
      </c>
      <c r="B36" s="1394"/>
      <c r="C36" s="1394"/>
      <c r="D36" s="1400">
        <v>-4389931.9793237997</v>
      </c>
      <c r="E36" s="1353" t="s">
        <v>1131</v>
      </c>
      <c r="F36" s="1363"/>
      <c r="G36" s="1363"/>
      <c r="H36" s="1370"/>
      <c r="I36" s="1363"/>
      <c r="J36" s="1363"/>
      <c r="K36" s="1363"/>
      <c r="L36" s="1363"/>
      <c r="M36" s="1356"/>
      <c r="N36" s="1356"/>
      <c r="O36" s="1394"/>
      <c r="P36" s="1356"/>
    </row>
    <row r="37" spans="1:16" ht="15.75">
      <c r="A37" s="1366">
        <v>20</v>
      </c>
      <c r="B37" s="1394"/>
      <c r="C37" s="1394"/>
      <c r="D37" s="1400"/>
      <c r="E37" s="1394"/>
      <c r="F37" s="1363"/>
      <c r="G37" s="1363"/>
      <c r="H37" s="1370"/>
      <c r="I37" s="1363"/>
      <c r="J37" s="1363"/>
      <c r="K37" s="1363"/>
      <c r="L37" s="1363"/>
      <c r="M37" s="1356"/>
      <c r="N37" s="1356"/>
      <c r="O37" s="1394"/>
      <c r="P37" s="1356"/>
    </row>
    <row r="38" spans="1:16" ht="15.75">
      <c r="A38" s="1366">
        <v>21</v>
      </c>
      <c r="B38" s="1394"/>
      <c r="C38" s="1394"/>
      <c r="D38" s="1400">
        <v>-156132408</v>
      </c>
      <c r="E38" s="1356" t="s">
        <v>1128</v>
      </c>
      <c r="F38" s="1363"/>
      <c r="G38" s="1363"/>
      <c r="H38" s="1370"/>
      <c r="I38" s="1363"/>
      <c r="J38" s="1363"/>
      <c r="K38" s="1363"/>
      <c r="L38" s="1363"/>
      <c r="M38" s="1356"/>
      <c r="N38" s="1356"/>
      <c r="O38" s="1394"/>
      <c r="P38" s="1356"/>
    </row>
    <row r="39" spans="1:16" ht="15.75">
      <c r="A39" s="1366">
        <v>22</v>
      </c>
      <c r="B39" s="1394"/>
      <c r="C39" s="1394"/>
      <c r="D39" s="1398">
        <v>0.52269500000000002</v>
      </c>
      <c r="E39" s="1356" t="s">
        <v>1132</v>
      </c>
      <c r="F39" s="1363"/>
      <c r="G39" s="1363"/>
      <c r="H39" s="1370"/>
      <c r="I39" s="1363"/>
      <c r="J39" s="1363"/>
      <c r="K39" s="1363"/>
      <c r="L39" s="1363"/>
      <c r="M39" s="1356"/>
      <c r="N39" s="1356"/>
      <c r="O39" s="1394"/>
      <c r="P39" s="1356"/>
    </row>
    <row r="40" spans="1:16" ht="15.75">
      <c r="A40" s="1366">
        <v>23</v>
      </c>
      <c r="B40" s="1367"/>
      <c r="C40" s="1394"/>
      <c r="D40" s="1399">
        <v>6.5000000000000002E-2</v>
      </c>
      <c r="E40" s="1356" t="s">
        <v>1130</v>
      </c>
      <c r="F40" s="1363"/>
      <c r="G40" s="1363"/>
      <c r="H40" s="1370"/>
      <c r="I40" s="1363"/>
      <c r="J40" s="1363"/>
      <c r="K40" s="1363"/>
      <c r="L40" s="1363"/>
      <c r="M40" s="1356"/>
      <c r="N40" s="1356"/>
      <c r="O40" s="1394"/>
      <c r="P40" s="1356"/>
    </row>
    <row r="41" spans="1:16" ht="15.75">
      <c r="A41" s="1366">
        <v>24</v>
      </c>
      <c r="B41" s="1367"/>
      <c r="C41" s="1394"/>
      <c r="D41" s="1400">
        <v>-5304625.8849713998</v>
      </c>
      <c r="E41" s="1353" t="s">
        <v>1133</v>
      </c>
      <c r="F41" s="1363"/>
      <c r="G41" s="1363"/>
      <c r="H41" s="1370"/>
      <c r="I41" s="1363"/>
      <c r="J41" s="1363"/>
      <c r="K41" s="1363"/>
      <c r="L41" s="1363"/>
      <c r="M41" s="1356"/>
      <c r="N41" s="1356"/>
      <c r="O41" s="1353"/>
      <c r="P41" s="1356"/>
    </row>
    <row r="42" spans="1:16" ht="15">
      <c r="A42" s="1366">
        <v>25</v>
      </c>
      <c r="B42" s="1367"/>
      <c r="C42" s="1394"/>
      <c r="D42" s="1401"/>
      <c r="E42" s="1394"/>
      <c r="F42" s="1365"/>
      <c r="G42" s="1365"/>
      <c r="H42" s="1371"/>
      <c r="I42" s="1372"/>
      <c r="J42" s="1365"/>
      <c r="K42" s="1365"/>
      <c r="L42" s="1365"/>
      <c r="M42" s="1356"/>
      <c r="N42" s="1356">
        <v>0</v>
      </c>
      <c r="O42" s="1353"/>
      <c r="P42" s="1386"/>
    </row>
    <row r="43" spans="1:16" ht="15">
      <c r="A43" s="1366">
        <v>26</v>
      </c>
      <c r="B43" s="1367"/>
      <c r="C43" s="1394"/>
      <c r="D43" s="1402">
        <v>914693.90564760007</v>
      </c>
      <c r="E43" s="1353" t="s">
        <v>1137</v>
      </c>
      <c r="F43" s="1403">
        <v>914693.90564760007</v>
      </c>
      <c r="G43" s="1373"/>
      <c r="H43" s="1371">
        <v>-0.17243325457484768</v>
      </c>
      <c r="I43" s="1372"/>
      <c r="J43" s="1365">
        <v>0</v>
      </c>
      <c r="K43" s="1365"/>
      <c r="L43" s="1365">
        <v>914693.90564760007</v>
      </c>
      <c r="M43" s="1356" t="s">
        <v>998</v>
      </c>
      <c r="N43" s="1356">
        <v>-4389931.9793237997</v>
      </c>
      <c r="O43" s="1353"/>
      <c r="P43" s="1386"/>
    </row>
    <row r="44" spans="1:16" ht="15">
      <c r="A44" s="1366">
        <v>27</v>
      </c>
      <c r="B44" s="1367"/>
      <c r="C44" s="1394"/>
      <c r="D44" s="1401"/>
      <c r="E44" s="1353" t="s">
        <v>1135</v>
      </c>
      <c r="F44" s="1365">
        <v>-192085.720185996</v>
      </c>
      <c r="G44" s="1365"/>
      <c r="H44" s="1371"/>
      <c r="I44" s="1404"/>
      <c r="J44" s="1365">
        <v>0</v>
      </c>
      <c r="K44" s="1365"/>
      <c r="L44" s="1365">
        <v>-192085.720185996</v>
      </c>
      <c r="M44" s="1356" t="s">
        <v>998</v>
      </c>
      <c r="N44" s="1356">
        <v>0</v>
      </c>
      <c r="O44" s="1353"/>
      <c r="P44" s="1356"/>
    </row>
    <row r="45" spans="1:16" ht="15">
      <c r="A45" s="1366">
        <v>28</v>
      </c>
      <c r="B45" s="1367"/>
      <c r="C45" s="1394"/>
      <c r="D45" s="1406"/>
      <c r="E45" s="1367"/>
      <c r="F45" s="1365"/>
      <c r="G45" s="1365"/>
      <c r="H45" s="1371"/>
      <c r="I45" s="1373"/>
      <c r="J45" s="1365"/>
      <c r="K45" s="1365"/>
      <c r="L45" s="1365"/>
      <c r="M45" s="1394"/>
      <c r="N45" s="1356"/>
      <c r="O45" s="1353"/>
      <c r="P45" s="1356"/>
    </row>
    <row r="46" spans="1:16" ht="15">
      <c r="A46" s="1366">
        <v>29</v>
      </c>
      <c r="B46" s="1394"/>
      <c r="C46" s="1394"/>
      <c r="D46" s="1406"/>
      <c r="E46" s="1356"/>
      <c r="F46" s="1373"/>
      <c r="G46" s="1373"/>
      <c r="H46" s="1371"/>
      <c r="I46" s="1373"/>
      <c r="J46" s="1365"/>
      <c r="K46" s="1365"/>
      <c r="L46" s="1365"/>
      <c r="M46" s="1394"/>
      <c r="N46" s="1356"/>
      <c r="O46" s="1353"/>
      <c r="P46" s="1356"/>
    </row>
    <row r="47" spans="1:16" ht="15">
      <c r="A47" s="1366">
        <v>30</v>
      </c>
      <c r="B47" s="1353" t="s">
        <v>119</v>
      </c>
      <c r="C47" s="1394"/>
      <c r="D47" s="1405">
        <v>-5304625.8849713998</v>
      </c>
      <c r="E47" s="1356" t="s">
        <v>1138</v>
      </c>
      <c r="F47" s="1381">
        <v>722608.18546160404</v>
      </c>
      <c r="G47" s="1382"/>
      <c r="H47" s="1390"/>
      <c r="I47" s="1353"/>
      <c r="J47" s="1381">
        <v>0</v>
      </c>
      <c r="K47" s="1365"/>
      <c r="L47" s="1381">
        <v>722608.18546160404</v>
      </c>
      <c r="M47" s="1394"/>
      <c r="N47" s="1381">
        <v>-4389931.9793237997</v>
      </c>
      <c r="O47" s="1353"/>
      <c r="P47" s="1356"/>
    </row>
    <row r="48" spans="1:16" ht="15">
      <c r="A48" s="1366"/>
      <c r="B48" s="1394"/>
      <c r="C48" s="1394"/>
      <c r="D48" s="1406"/>
      <c r="E48" s="1356"/>
      <c r="F48" s="1382"/>
      <c r="G48" s="1382"/>
      <c r="H48" s="1390"/>
      <c r="I48" s="1353"/>
      <c r="J48" s="1382"/>
      <c r="K48" s="1365"/>
      <c r="L48" s="1382"/>
      <c r="M48" s="1394"/>
      <c r="N48" s="1356"/>
      <c r="O48" s="1353"/>
      <c r="P48" s="1356"/>
    </row>
    <row r="49" spans="1:16" ht="15">
      <c r="A49" s="1366"/>
      <c r="B49" s="1394"/>
      <c r="C49" s="1394"/>
      <c r="D49" s="1406"/>
      <c r="E49" s="1356"/>
      <c r="F49" s="1382"/>
      <c r="G49" s="1382"/>
      <c r="H49" s="1390"/>
      <c r="I49" s="1353"/>
      <c r="J49" s="1382"/>
      <c r="K49" s="1365"/>
      <c r="L49" s="1382"/>
      <c r="M49" s="1394"/>
      <c r="N49" s="1356"/>
      <c r="O49" s="1353"/>
      <c r="P49" s="1356"/>
    </row>
    <row r="50" spans="1:16" ht="15">
      <c r="A50" s="1572" t="s">
        <v>1115</v>
      </c>
      <c r="B50" s="1572"/>
      <c r="C50" s="1572"/>
      <c r="D50" s="1572"/>
      <c r="E50" s="1572"/>
      <c r="F50" s="1572"/>
      <c r="G50" s="1572"/>
      <c r="H50" s="1572"/>
      <c r="I50" s="1353"/>
      <c r="J50" s="1353"/>
      <c r="K50" s="1353"/>
      <c r="L50" s="1353"/>
      <c r="M50" s="1394"/>
      <c r="N50" s="1356"/>
      <c r="O50" s="1353"/>
      <c r="P50" s="1356"/>
    </row>
    <row r="51" spans="1:16" ht="15">
      <c r="A51" s="1572"/>
      <c r="B51" s="1572"/>
      <c r="C51" s="1572"/>
      <c r="D51" s="1572"/>
      <c r="E51" s="1572"/>
      <c r="F51" s="1572"/>
      <c r="G51" s="1572"/>
      <c r="H51" s="1572"/>
      <c r="I51" s="1353"/>
      <c r="J51" s="1353"/>
      <c r="K51" s="1353"/>
      <c r="L51" s="1353"/>
      <c r="M51" s="1394"/>
      <c r="N51" s="1356"/>
      <c r="O51" s="1353"/>
      <c r="P51" s="1356"/>
    </row>
    <row r="52" spans="1:16" ht="15">
      <c r="A52" s="1572"/>
      <c r="B52" s="1572"/>
      <c r="C52" s="1572"/>
      <c r="D52" s="1572"/>
      <c r="E52" s="1572"/>
      <c r="F52" s="1572"/>
      <c r="G52" s="1572"/>
      <c r="H52" s="1572"/>
      <c r="I52" s="1353"/>
      <c r="J52" s="1353"/>
      <c r="K52" s="1353"/>
      <c r="L52" s="1353"/>
      <c r="M52" s="1394"/>
      <c r="N52" s="1356"/>
      <c r="O52" s="1353"/>
      <c r="P52" s="1356"/>
    </row>
    <row r="53" spans="1:16" ht="15">
      <c r="A53" s="1572"/>
      <c r="B53" s="1572"/>
      <c r="C53" s="1572"/>
      <c r="D53" s="1572"/>
      <c r="E53" s="1572"/>
      <c r="F53" s="1572"/>
      <c r="G53" s="1572"/>
      <c r="H53" s="1572"/>
      <c r="I53" s="1353"/>
      <c r="J53" s="1353"/>
      <c r="K53" s="1353"/>
      <c r="L53" s="1353"/>
      <c r="M53" s="1394"/>
      <c r="N53" s="1356"/>
      <c r="O53" s="1353"/>
      <c r="P53" s="1356"/>
    </row>
    <row r="54" spans="1:16" ht="15">
      <c r="A54" s="1366"/>
      <c r="B54" s="1394"/>
      <c r="C54" s="1394"/>
      <c r="D54" s="1394"/>
      <c r="E54" s="1394"/>
      <c r="F54" s="1353"/>
      <c r="G54" s="1353"/>
      <c r="H54" s="1353"/>
      <c r="I54" s="1353"/>
      <c r="J54" s="1353"/>
      <c r="K54" s="1353"/>
      <c r="L54" s="1353"/>
      <c r="M54" s="1394"/>
      <c r="N54" s="1356"/>
      <c r="O54" s="1353"/>
      <c r="P54" s="1356"/>
    </row>
    <row r="55" spans="1:16" ht="15">
      <c r="A55" s="1352" t="s">
        <v>1116</v>
      </c>
      <c r="B55" s="1572" t="s">
        <v>1117</v>
      </c>
      <c r="C55" s="1572"/>
      <c r="D55" s="1572"/>
      <c r="E55" s="1572"/>
      <c r="F55" s="1572"/>
      <c r="G55" s="1572"/>
      <c r="H55" s="1572"/>
      <c r="I55" s="1353"/>
      <c r="J55" s="1353"/>
      <c r="K55" s="1353"/>
      <c r="L55" s="1353"/>
      <c r="M55" s="1394"/>
      <c r="N55" s="1356"/>
      <c r="O55" s="1353"/>
      <c r="P55" s="1356"/>
    </row>
    <row r="56" spans="1:16" ht="15">
      <c r="A56" s="1394"/>
      <c r="B56" s="1572"/>
      <c r="C56" s="1572"/>
      <c r="D56" s="1572"/>
      <c r="E56" s="1572"/>
      <c r="F56" s="1572"/>
      <c r="G56" s="1572"/>
      <c r="H56" s="1572"/>
      <c r="I56" s="1353"/>
      <c r="J56" s="1353"/>
      <c r="K56" s="1353"/>
      <c r="L56" s="1353"/>
      <c r="M56" s="1394"/>
      <c r="N56" s="1356"/>
      <c r="O56" s="1353"/>
      <c r="P56" s="1356"/>
    </row>
    <row r="57" spans="1:16" ht="15">
      <c r="A57" s="1394"/>
      <c r="B57" s="1572"/>
      <c r="C57" s="1572"/>
      <c r="D57" s="1572"/>
      <c r="E57" s="1572"/>
      <c r="F57" s="1572"/>
      <c r="G57" s="1572"/>
      <c r="H57" s="1572"/>
      <c r="I57" s="1353"/>
      <c r="J57" s="1353"/>
      <c r="K57" s="1353"/>
      <c r="L57" s="1353"/>
      <c r="M57" s="1394"/>
      <c r="N57" s="1356"/>
      <c r="O57" s="1353"/>
      <c r="P57" s="1356"/>
    </row>
    <row r="58" spans="1:16" ht="15.75">
      <c r="A58" s="1353"/>
      <c r="B58" s="1394"/>
      <c r="C58" s="1394"/>
      <c r="D58" s="1394"/>
      <c r="E58" s="1394"/>
      <c r="F58" s="1394"/>
      <c r="G58" s="1394"/>
      <c r="H58" s="1394"/>
      <c r="I58" s="1363"/>
      <c r="J58" s="1356"/>
      <c r="K58" s="1356"/>
      <c r="L58" s="1356"/>
      <c r="M58" s="1356"/>
      <c r="N58" s="1356"/>
      <c r="O58" s="1394"/>
      <c r="P58" s="1394"/>
    </row>
    <row r="59" spans="1:16" ht="15">
      <c r="A59" s="1352" t="s">
        <v>1118</v>
      </c>
      <c r="B59" s="1572" t="s">
        <v>1139</v>
      </c>
      <c r="C59" s="1572"/>
      <c r="D59" s="1572"/>
      <c r="E59" s="1572"/>
      <c r="F59" s="1572"/>
      <c r="G59" s="1572"/>
      <c r="H59" s="1572"/>
      <c r="I59" s="1394"/>
      <c r="J59" s="1356"/>
      <c r="K59" s="1356"/>
      <c r="L59" s="1356"/>
      <c r="M59" s="1356"/>
      <c r="N59" s="1356"/>
      <c r="O59" s="1394"/>
      <c r="P59" s="1394"/>
    </row>
    <row r="60" spans="1:16" ht="15">
      <c r="A60" s="1394"/>
      <c r="B60" s="1572"/>
      <c r="C60" s="1572"/>
      <c r="D60" s="1572"/>
      <c r="E60" s="1572"/>
      <c r="F60" s="1572"/>
      <c r="G60" s="1572"/>
      <c r="H60" s="1572"/>
      <c r="I60" s="1394"/>
      <c r="J60" s="1356"/>
      <c r="K60" s="1356"/>
      <c r="L60" s="1356"/>
      <c r="M60" s="1356"/>
      <c r="N60" s="1356"/>
      <c r="O60" s="1394"/>
      <c r="P60" s="1394"/>
    </row>
    <row r="61" spans="1:16" ht="15">
      <c r="A61" s="1353"/>
      <c r="B61" s="1394"/>
      <c r="C61" s="1394"/>
      <c r="D61" s="1394"/>
      <c r="E61" s="1394"/>
      <c r="F61" s="1394"/>
      <c r="G61" s="1394"/>
      <c r="H61" s="1394"/>
      <c r="I61" s="1394"/>
      <c r="J61" s="1356"/>
      <c r="K61" s="1356"/>
      <c r="L61" s="1356"/>
      <c r="M61" s="1356"/>
      <c r="N61" s="1356"/>
      <c r="O61" s="1394"/>
      <c r="P61" s="1394"/>
    </row>
    <row r="62" spans="1:16" ht="15">
      <c r="A62" s="1352" t="s">
        <v>1120</v>
      </c>
      <c r="B62" s="1577" t="s">
        <v>1140</v>
      </c>
      <c r="C62" s="1577"/>
      <c r="D62" s="1577"/>
      <c r="E62" s="1577"/>
      <c r="F62" s="1577"/>
      <c r="G62" s="1577"/>
      <c r="H62" s="1577"/>
      <c r="I62" s="1577"/>
      <c r="J62" s="1356"/>
      <c r="K62" s="1356"/>
      <c r="L62" s="1356"/>
      <c r="M62" s="1356"/>
      <c r="N62" s="1356"/>
      <c r="O62" s="1394"/>
      <c r="P62" s="1394"/>
    </row>
    <row r="63" spans="1:16" ht="15.75">
      <c r="A63" s="1391"/>
      <c r="B63" s="1577"/>
      <c r="C63" s="1577"/>
      <c r="D63" s="1577"/>
      <c r="E63" s="1577"/>
      <c r="F63" s="1577"/>
      <c r="G63" s="1577"/>
      <c r="H63" s="1577"/>
      <c r="I63" s="1577"/>
      <c r="J63" s="1356"/>
      <c r="K63" s="1356"/>
      <c r="L63" s="1356"/>
      <c r="M63" s="1356"/>
      <c r="N63" s="1356"/>
      <c r="O63" s="1394"/>
      <c r="P63" s="1394"/>
    </row>
    <row r="64" spans="1:16" ht="15">
      <c r="A64" s="1353"/>
      <c r="B64" s="1394"/>
      <c r="C64" s="1394"/>
      <c r="D64" s="1394"/>
      <c r="E64" s="1394"/>
      <c r="F64" s="1394"/>
      <c r="G64" s="1394"/>
      <c r="H64" s="1394"/>
      <c r="I64" s="1394"/>
      <c r="J64" s="1356"/>
      <c r="K64" s="1356"/>
      <c r="L64" s="1356"/>
      <c r="M64" s="1356"/>
      <c r="N64" s="1356"/>
      <c r="O64" s="1394"/>
      <c r="P64" s="1394"/>
    </row>
    <row r="65" spans="1:16" ht="15">
      <c r="A65" s="1353" t="s">
        <v>1122</v>
      </c>
      <c r="B65" s="1573" t="s">
        <v>1141</v>
      </c>
      <c r="C65" s="1573"/>
      <c r="D65" s="1573"/>
      <c r="E65" s="1573"/>
      <c r="F65" s="1573"/>
      <c r="G65" s="1394"/>
      <c r="H65" s="1394"/>
      <c r="I65" s="1394"/>
      <c r="J65" s="1356"/>
      <c r="K65" s="1356"/>
      <c r="L65" s="1356"/>
      <c r="M65" s="1356"/>
      <c r="N65" s="1356"/>
      <c r="O65" s="1394"/>
      <c r="P65" s="1394"/>
    </row>
    <row r="66" spans="1:16" ht="15">
      <c r="A66" s="1394"/>
      <c r="B66" s="1573"/>
      <c r="C66" s="1573"/>
      <c r="D66" s="1573"/>
      <c r="E66" s="1573"/>
      <c r="F66" s="1573"/>
      <c r="G66" s="1394"/>
      <c r="H66" s="1394"/>
      <c r="I66" s="1394"/>
      <c r="J66" s="1356"/>
      <c r="K66" s="1356"/>
      <c r="L66" s="1356"/>
      <c r="M66" s="1356"/>
      <c r="N66" s="1356"/>
      <c r="O66" s="1394"/>
      <c r="P66" s="1394"/>
    </row>
    <row r="67" spans="1:16" ht="15">
      <c r="A67" s="1353"/>
      <c r="B67" s="1394"/>
      <c r="C67" s="1394"/>
      <c r="D67" s="1394"/>
      <c r="E67" s="1394"/>
      <c r="F67" s="1394"/>
      <c r="G67" s="1394"/>
      <c r="H67" s="1394"/>
      <c r="I67" s="1394"/>
      <c r="J67" s="1356"/>
      <c r="K67" s="1356"/>
      <c r="L67" s="1356"/>
      <c r="M67" s="1356"/>
      <c r="N67" s="1356"/>
      <c r="O67" s="1394"/>
      <c r="P67" s="1394"/>
    </row>
    <row r="68" spans="1:16" ht="15">
      <c r="A68" s="1353"/>
      <c r="B68" s="1394"/>
      <c r="C68" s="1394"/>
      <c r="D68" s="1394"/>
      <c r="E68" s="1394"/>
      <c r="F68" s="1394"/>
      <c r="G68" s="1394"/>
      <c r="H68" s="1394"/>
      <c r="I68" s="1394"/>
      <c r="J68" s="1356"/>
      <c r="K68" s="1356"/>
      <c r="L68" s="1356"/>
      <c r="M68" s="1356"/>
      <c r="N68" s="1356"/>
      <c r="O68" s="1394"/>
      <c r="P68" s="1394"/>
    </row>
    <row r="69" spans="1:16" ht="15">
      <c r="A69" s="1394"/>
      <c r="B69" s="1394"/>
      <c r="C69" s="1394"/>
      <c r="D69" s="1394"/>
      <c r="E69" s="1392"/>
      <c r="F69" s="1394"/>
      <c r="G69" s="1394"/>
      <c r="H69" s="1394"/>
      <c r="I69" s="1356"/>
      <c r="J69" s="1356"/>
      <c r="K69" s="1356"/>
      <c r="L69" s="1356"/>
      <c r="M69" s="1394"/>
      <c r="N69" s="1394"/>
      <c r="O69" s="1394"/>
      <c r="P69" s="1394"/>
    </row>
    <row r="70" spans="1:16" ht="15">
      <c r="A70" s="1394"/>
      <c r="B70" s="1394"/>
      <c r="C70" s="1394"/>
      <c r="D70" s="1394"/>
      <c r="E70" s="1394"/>
      <c r="F70" s="1394"/>
      <c r="G70" s="1393"/>
      <c r="H70" s="1393"/>
      <c r="I70" s="1356"/>
      <c r="J70" s="1356"/>
      <c r="K70" s="1356"/>
      <c r="L70" s="1356"/>
      <c r="M70" s="1394"/>
      <c r="N70" s="1394"/>
      <c r="O70" s="1394"/>
      <c r="P70" s="1394"/>
    </row>
    <row r="71" spans="1:16" ht="15">
      <c r="A71" s="1394"/>
      <c r="B71" s="1394"/>
      <c r="C71" s="1394"/>
      <c r="D71" s="1394"/>
      <c r="E71" s="1394"/>
      <c r="F71" s="1394"/>
      <c r="G71" s="1393"/>
      <c r="H71" s="1393"/>
      <c r="I71" s="1356"/>
      <c r="J71" s="1394"/>
      <c r="K71" s="1394"/>
      <c r="L71" s="1394"/>
      <c r="M71" s="1394"/>
      <c r="N71" s="1394"/>
      <c r="O71" s="1394"/>
      <c r="P71" s="1394"/>
    </row>
    <row r="72" spans="1:16" ht="15">
      <c r="A72" s="1394"/>
      <c r="B72" s="1394"/>
      <c r="C72" s="1394"/>
      <c r="D72" s="1394"/>
      <c r="E72" s="1394"/>
      <c r="F72" s="1394"/>
      <c r="G72" s="1394"/>
      <c r="H72" s="1394"/>
      <c r="I72" s="1394"/>
      <c r="J72" s="1394"/>
      <c r="K72" s="1394"/>
      <c r="L72" s="1394"/>
      <c r="M72" s="1394"/>
      <c r="N72" s="1394"/>
      <c r="O72" s="1394"/>
      <c r="P72" s="1394"/>
    </row>
    <row r="75" spans="1:16" ht="15.75">
      <c r="A75" s="1391"/>
      <c r="B75" s="1363"/>
      <c r="C75" s="1363"/>
      <c r="D75" s="1407"/>
      <c r="E75" s="1363"/>
      <c r="F75" s="1363"/>
      <c r="G75" s="1363"/>
      <c r="H75" s="1363"/>
      <c r="I75" s="1363"/>
      <c r="J75" s="1363"/>
      <c r="K75" s="1363"/>
      <c r="L75" s="1363"/>
      <c r="M75" s="1363"/>
      <c r="N75" s="1363"/>
      <c r="O75" s="1363"/>
      <c r="P75" s="1394"/>
    </row>
    <row r="76" spans="1:16" ht="15.75">
      <c r="A76" s="1391"/>
      <c r="B76" s="1363"/>
      <c r="C76" s="1363"/>
      <c r="D76" s="1407"/>
      <c r="E76" s="1363"/>
      <c r="F76" s="1363"/>
      <c r="G76" s="1363"/>
      <c r="H76" s="1363"/>
      <c r="I76" s="1363"/>
      <c r="J76" s="1363"/>
      <c r="K76" s="1363"/>
      <c r="L76" s="1363"/>
      <c r="M76" s="1363"/>
      <c r="N76" s="1363"/>
      <c r="O76" s="1363"/>
      <c r="P76" s="1394"/>
    </row>
    <row r="77" spans="1:16" ht="15.75">
      <c r="A77" s="1391"/>
      <c r="B77" s="1363"/>
      <c r="C77" s="1363"/>
      <c r="D77" s="1407"/>
      <c r="E77" s="1363"/>
      <c r="F77" s="1363"/>
      <c r="G77" s="1363"/>
      <c r="H77" s="1363"/>
      <c r="I77" s="1363"/>
      <c r="J77" s="1363"/>
      <c r="K77" s="1363"/>
      <c r="L77" s="1363"/>
      <c r="M77" s="1363"/>
      <c r="N77" s="1363"/>
      <c r="O77" s="1363"/>
      <c r="P77" s="1394"/>
    </row>
    <row r="78" spans="1:16" ht="15">
      <c r="A78" s="1391"/>
      <c r="B78" s="1363"/>
      <c r="C78" s="1363"/>
      <c r="D78" s="1407"/>
      <c r="E78" s="1363"/>
      <c r="F78" s="1363"/>
      <c r="G78" s="1363"/>
      <c r="H78" s="1363"/>
      <c r="I78" s="1363"/>
      <c r="J78" s="1363"/>
      <c r="K78" s="1363"/>
      <c r="L78" s="1363"/>
      <c r="M78" s="1363"/>
      <c r="N78" s="1363"/>
      <c r="O78" s="1363"/>
      <c r="P78" s="1356"/>
    </row>
    <row r="79" spans="1:16" ht="15">
      <c r="A79" s="1391"/>
      <c r="B79" s="1363"/>
      <c r="C79" s="1363"/>
      <c r="D79" s="1407"/>
      <c r="E79" s="1363"/>
      <c r="F79" s="1363"/>
      <c r="G79" s="1363"/>
      <c r="H79" s="1363"/>
      <c r="I79" s="1363"/>
      <c r="J79" s="1363"/>
      <c r="K79" s="1363"/>
      <c r="L79" s="1363"/>
      <c r="M79" s="1363"/>
      <c r="N79" s="1363"/>
      <c r="O79" s="1363"/>
      <c r="P79" s="1356"/>
    </row>
    <row r="80" spans="1:16" ht="15">
      <c r="A80" s="1391"/>
      <c r="B80" s="1363"/>
      <c r="C80" s="1363"/>
      <c r="D80" s="1407"/>
      <c r="E80" s="1363"/>
      <c r="F80" s="1363"/>
      <c r="G80" s="1363"/>
      <c r="H80" s="1363"/>
      <c r="I80" s="1363"/>
      <c r="J80" s="1363"/>
      <c r="K80" s="1363"/>
      <c r="L80" s="1363"/>
      <c r="M80" s="1363"/>
      <c r="N80" s="1363"/>
      <c r="O80" s="1363"/>
      <c r="P80" s="1356"/>
    </row>
    <row r="81" spans="1:16" ht="15">
      <c r="A81" s="1391"/>
      <c r="B81" s="1363"/>
      <c r="C81" s="1363"/>
      <c r="D81" s="1407"/>
      <c r="E81" s="1363"/>
      <c r="F81" s="1363"/>
      <c r="G81" s="1363"/>
      <c r="H81" s="1363"/>
      <c r="I81" s="1363"/>
      <c r="J81" s="1363"/>
      <c r="K81" s="1363"/>
      <c r="L81" s="1363"/>
      <c r="M81" s="1363"/>
      <c r="N81" s="1363"/>
      <c r="O81" s="1363"/>
      <c r="P81" s="1356"/>
    </row>
    <row r="82" spans="1:16" ht="15">
      <c r="A82" s="1391"/>
      <c r="B82" s="1363"/>
      <c r="C82" s="1363"/>
      <c r="D82" s="1407"/>
      <c r="E82" s="1363"/>
      <c r="F82" s="1363"/>
      <c r="G82" s="1363"/>
      <c r="H82" s="1363"/>
      <c r="I82" s="1363"/>
      <c r="J82" s="1363"/>
      <c r="K82" s="1363"/>
      <c r="L82" s="1363"/>
      <c r="M82" s="1363"/>
      <c r="N82" s="1363"/>
      <c r="O82" s="1363"/>
      <c r="P82" s="1356"/>
    </row>
    <row r="83" spans="1:16" ht="15">
      <c r="A83" s="1391"/>
      <c r="B83" s="1363"/>
      <c r="C83" s="1363"/>
      <c r="D83" s="1407"/>
      <c r="E83" s="1363"/>
      <c r="F83" s="1363"/>
      <c r="G83" s="1363"/>
      <c r="H83" s="1363"/>
      <c r="I83" s="1363"/>
      <c r="J83" s="1363"/>
      <c r="K83" s="1363"/>
      <c r="L83" s="1363"/>
      <c r="M83" s="1363"/>
      <c r="N83" s="1363"/>
      <c r="O83" s="1363"/>
      <c r="P83" s="1356"/>
    </row>
    <row r="84" spans="1:16" ht="15">
      <c r="A84" s="1391"/>
      <c r="B84" s="1363"/>
      <c r="C84" s="1363"/>
      <c r="D84" s="1407"/>
      <c r="E84" s="1363"/>
      <c r="F84" s="1363"/>
      <c r="G84" s="1363"/>
      <c r="H84" s="1363"/>
      <c r="I84" s="1363"/>
      <c r="J84" s="1363"/>
      <c r="K84" s="1363"/>
      <c r="L84" s="1363"/>
      <c r="M84" s="1363"/>
      <c r="N84" s="1363"/>
      <c r="O84" s="1363"/>
      <c r="P84" s="1356"/>
    </row>
    <row r="85" spans="1:16" ht="15">
      <c r="A85" s="1391"/>
      <c r="B85" s="1363"/>
      <c r="C85" s="1363"/>
      <c r="D85" s="1407"/>
      <c r="E85" s="1363"/>
      <c r="F85" s="1363"/>
      <c r="G85" s="1363"/>
      <c r="H85" s="1363"/>
      <c r="I85" s="1363"/>
      <c r="J85" s="1363"/>
      <c r="K85" s="1363"/>
      <c r="L85" s="1363"/>
      <c r="M85" s="1363"/>
      <c r="N85" s="1363"/>
      <c r="O85" s="1363"/>
      <c r="P85" s="1356"/>
    </row>
    <row r="86" spans="1:16" ht="15">
      <c r="A86" s="1391"/>
      <c r="B86" s="1363"/>
      <c r="C86" s="1363"/>
      <c r="D86" s="1407"/>
      <c r="E86" s="1363"/>
      <c r="F86" s="1363"/>
      <c r="G86" s="1363"/>
      <c r="H86" s="1363"/>
      <c r="I86" s="1363"/>
      <c r="J86" s="1363"/>
      <c r="K86" s="1363"/>
      <c r="L86" s="1363"/>
      <c r="M86" s="1363"/>
      <c r="N86" s="1363"/>
      <c r="O86" s="1363"/>
      <c r="P86" s="1356"/>
    </row>
    <row r="87" spans="1:16" ht="15.75">
      <c r="A87" s="1391"/>
      <c r="B87" s="1363"/>
      <c r="C87" s="1363"/>
      <c r="D87" s="1407"/>
      <c r="E87" s="1363"/>
      <c r="F87" s="1363"/>
      <c r="G87" s="1363"/>
      <c r="H87" s="1363"/>
      <c r="I87" s="1363"/>
      <c r="J87" s="1363"/>
      <c r="K87" s="1363"/>
      <c r="L87" s="1363"/>
      <c r="M87" s="1363"/>
      <c r="N87" s="1363"/>
      <c r="O87" s="1363"/>
      <c r="P87" s="1394"/>
    </row>
  </sheetData>
  <mergeCells count="7">
    <mergeCell ref="B65:F66"/>
    <mergeCell ref="A7:N7"/>
    <mergeCell ref="Q9:Q10"/>
    <mergeCell ref="A50:H53"/>
    <mergeCell ref="B55:H57"/>
    <mergeCell ref="B59:H60"/>
    <mergeCell ref="B62:I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142"/>
  <sheetViews>
    <sheetView topLeftCell="A60" zoomScale="85" zoomScaleNormal="85" zoomScaleSheetLayoutView="100" workbookViewId="0">
      <selection activeCell="E20" sqref="E20"/>
    </sheetView>
  </sheetViews>
  <sheetFormatPr defaultColWidth="11.42578125" defaultRowHeight="12.75"/>
  <cols>
    <col min="1" max="1" width="8.140625" style="69" customWidth="1"/>
    <col min="2" max="2" width="16.5703125" style="70" bestFit="1" customWidth="1"/>
    <col min="3" max="3" width="44.140625" style="70" customWidth="1"/>
    <col min="4" max="4" width="29.7109375" style="70" customWidth="1"/>
    <col min="5" max="5" width="24.28515625" style="79" customWidth="1"/>
    <col min="6" max="6" width="1" style="79" customWidth="1"/>
    <col min="7" max="7" width="20.85546875" style="70" customWidth="1"/>
    <col min="8" max="8" width="1" style="70" customWidth="1"/>
    <col min="9" max="9" width="19.140625" style="70" customWidth="1"/>
    <col min="10" max="10" width="16.7109375" style="70" customWidth="1"/>
    <col min="11" max="11" width="15.28515625" style="70" customWidth="1"/>
    <col min="12" max="12" width="33.5703125" style="70" customWidth="1"/>
    <col min="13" max="14" width="13.42578125" style="70" customWidth="1"/>
    <col min="15" max="15" width="13.7109375" style="70" customWidth="1"/>
    <col min="16" max="16384" width="11.42578125" style="70"/>
  </cols>
  <sheetData>
    <row r="1" spans="1:15" ht="15.75">
      <c r="A1" s="886" t="s">
        <v>115</v>
      </c>
    </row>
    <row r="2" spans="1:15" ht="15.75">
      <c r="A2" s="886" t="s">
        <v>115</v>
      </c>
    </row>
    <row r="3" spans="1:15" ht="15">
      <c r="A3" s="1547" t="str">
        <f>+'WS B ADIT &amp; ITC'!A3:I3</f>
        <v>AEP East Companies</v>
      </c>
      <c r="B3" s="1547"/>
      <c r="C3" s="1547"/>
      <c r="D3" s="1547"/>
      <c r="E3" s="1547"/>
      <c r="F3" s="1547"/>
      <c r="G3" s="1547"/>
      <c r="H3" s="1547"/>
      <c r="I3" s="1547"/>
      <c r="J3" s="1547"/>
      <c r="K3" s="1547"/>
      <c r="L3" s="1547"/>
      <c r="M3" s="40"/>
      <c r="N3" s="40"/>
      <c r="O3" s="40"/>
    </row>
    <row r="4" spans="1:15" ht="15">
      <c r="A4" s="1548" t="str">
        <f>"Cost of Service Formula Rate Using Actual/Projected FF1 Balances"</f>
        <v>Cost of Service Formula Rate Using Actual/Projected FF1 Balances</v>
      </c>
      <c r="B4" s="1548"/>
      <c r="C4" s="1548"/>
      <c r="D4" s="1548"/>
      <c r="E4" s="1548"/>
      <c r="F4" s="1548"/>
      <c r="G4" s="1548"/>
      <c r="H4" s="1548"/>
      <c r="I4" s="1548"/>
      <c r="J4" s="1548"/>
      <c r="K4" s="1548"/>
      <c r="L4" s="1548"/>
      <c r="M4" s="97"/>
      <c r="N4" s="97"/>
      <c r="O4" s="97"/>
    </row>
    <row r="5" spans="1:15" ht="15">
      <c r="A5" s="1548" t="s">
        <v>496</v>
      </c>
      <c r="B5" s="1548"/>
      <c r="C5" s="1548"/>
      <c r="D5" s="1548"/>
      <c r="E5" s="1548"/>
      <c r="F5" s="1548"/>
      <c r="G5" s="1548"/>
      <c r="H5" s="1548"/>
      <c r="I5" s="1548"/>
      <c r="J5" s="1548"/>
      <c r="K5" s="1548"/>
      <c r="L5" s="1548"/>
      <c r="M5" s="96"/>
      <c r="N5" s="96"/>
      <c r="O5" s="96"/>
    </row>
    <row r="6" spans="1:15" ht="15">
      <c r="A6" s="1559" t="str">
        <f>TCOS!F9</f>
        <v xml:space="preserve">Indiana Michigan Power Company </v>
      </c>
      <c r="B6" s="1559"/>
      <c r="C6" s="1559"/>
      <c r="D6" s="1559"/>
      <c r="E6" s="1559"/>
      <c r="F6" s="1559"/>
      <c r="G6" s="1559"/>
      <c r="H6" s="1559"/>
      <c r="I6" s="1559"/>
      <c r="J6" s="1559"/>
      <c r="K6" s="1559"/>
      <c r="L6" s="1559"/>
      <c r="M6" s="4"/>
      <c r="N6" s="4"/>
      <c r="O6" s="4"/>
    </row>
    <row r="7" spans="1:15" ht="15">
      <c r="A7" s="4"/>
      <c r="B7" s="4"/>
      <c r="C7" s="4"/>
      <c r="D7" s="4"/>
      <c r="E7" s="4"/>
      <c r="F7" s="4"/>
      <c r="G7" s="4"/>
      <c r="H7" s="3"/>
      <c r="I7" s="68"/>
      <c r="J7" s="68"/>
      <c r="K7" s="68"/>
      <c r="L7" s="68"/>
      <c r="M7" s="68"/>
      <c r="N7" s="68"/>
      <c r="O7" s="68"/>
    </row>
    <row r="8" spans="1:15" ht="12.75" customHeight="1">
      <c r="A8" s="94"/>
      <c r="B8" s="94" t="s">
        <v>163</v>
      </c>
      <c r="C8" s="94" t="s">
        <v>164</v>
      </c>
      <c r="D8" s="92" t="s">
        <v>4</v>
      </c>
      <c r="E8" s="92" t="s">
        <v>166</v>
      </c>
      <c r="F8" s="94"/>
      <c r="G8" s="94" t="s">
        <v>85</v>
      </c>
      <c r="H8" s="94"/>
      <c r="I8" s="94" t="s">
        <v>86</v>
      </c>
      <c r="J8" s="94" t="s">
        <v>87</v>
      </c>
      <c r="K8" s="94" t="s">
        <v>92</v>
      </c>
      <c r="L8" s="94" t="s">
        <v>501</v>
      </c>
      <c r="M8" s="94"/>
      <c r="N8" s="94"/>
      <c r="O8" s="94"/>
    </row>
    <row r="9" spans="1:15">
      <c r="A9" s="67"/>
    </row>
    <row r="10" spans="1:15" ht="18">
      <c r="A10" s="91"/>
      <c r="B10" s="1579" t="s">
        <v>208</v>
      </c>
      <c r="C10" s="1579"/>
      <c r="D10" s="1579"/>
      <c r="E10" s="1579"/>
      <c r="F10" s="1579"/>
      <c r="G10" s="1579"/>
      <c r="H10" s="1579"/>
      <c r="I10" s="1579"/>
      <c r="J10" s="1579"/>
      <c r="K10" s="1579"/>
      <c r="O10" s="79"/>
    </row>
    <row r="11" spans="1:15">
      <c r="A11" s="91"/>
      <c r="I11" s="16"/>
      <c r="J11" s="16"/>
      <c r="O11" s="79"/>
    </row>
    <row r="12" spans="1:15" ht="12.75" customHeight="1">
      <c r="A12" s="12" t="s">
        <v>170</v>
      </c>
      <c r="B12" s="72"/>
      <c r="C12" s="80"/>
      <c r="D12" s="204"/>
      <c r="E12" s="1581" t="str">
        <f>"Balance @ December 31, "&amp;TCOS!L4&amp;""</f>
        <v>Balance @ December 31, 2025</v>
      </c>
      <c r="F12" s="204"/>
      <c r="G12" s="1581" t="str">
        <f>"Balance @ December 31, "&amp;TCOS!L4-1&amp;""</f>
        <v>Balance @ December 31, 2024</v>
      </c>
      <c r="H12" s="260"/>
      <c r="I12" s="1560" t="str">
        <f>"Average Balance for "&amp;TCOS!L4&amp;""</f>
        <v>Average Balance for 2025</v>
      </c>
      <c r="J12" s="103"/>
      <c r="K12" s="75"/>
      <c r="L12" s="81"/>
      <c r="M12" s="75"/>
      <c r="N12" s="75"/>
      <c r="O12" s="79"/>
    </row>
    <row r="13" spans="1:15">
      <c r="A13" s="12" t="s">
        <v>107</v>
      </c>
      <c r="B13" s="76"/>
      <c r="C13" s="72"/>
      <c r="D13" s="205" t="s">
        <v>207</v>
      </c>
      <c r="E13" s="1582"/>
      <c r="F13" s="206"/>
      <c r="G13" s="1582"/>
      <c r="H13" s="207"/>
      <c r="I13" s="1558"/>
      <c r="J13" s="103"/>
      <c r="K13" s="82"/>
      <c r="L13" s="83"/>
      <c r="M13" s="73"/>
      <c r="N13" s="73"/>
    </row>
    <row r="14" spans="1:15">
      <c r="A14" s="76"/>
      <c r="B14" s="76"/>
      <c r="C14" s="72"/>
      <c r="D14" s="78"/>
      <c r="E14" s="71"/>
      <c r="F14" s="71"/>
      <c r="G14" s="231"/>
      <c r="H14" s="77"/>
      <c r="J14" s="16"/>
      <c r="K14" s="82"/>
      <c r="L14" s="83"/>
      <c r="M14" s="73"/>
      <c r="N14" s="73"/>
    </row>
    <row r="15" spans="1:15">
      <c r="A15" s="76">
        <v>1</v>
      </c>
      <c r="B15" s="76"/>
      <c r="D15" s="61"/>
      <c r="E15" s="32"/>
      <c r="F15" s="32"/>
      <c r="G15" s="32"/>
      <c r="H15" s="32"/>
      <c r="I15" s="32"/>
      <c r="K15" s="32"/>
      <c r="L15" s="32"/>
      <c r="M15" s="73"/>
      <c r="N15" s="73"/>
    </row>
    <row r="16" spans="1:15">
      <c r="A16" s="76"/>
      <c r="B16" s="76"/>
      <c r="C16" s="61"/>
      <c r="D16" s="61"/>
      <c r="E16" s="32"/>
      <c r="F16" s="32"/>
      <c r="G16" s="32"/>
      <c r="H16" s="32"/>
      <c r="I16" s="32"/>
      <c r="K16" s="32"/>
      <c r="L16" s="32"/>
      <c r="M16" s="73"/>
      <c r="N16" s="73"/>
    </row>
    <row r="17" spans="1:14">
      <c r="A17" s="76">
        <f>+A15+1</f>
        <v>2</v>
      </c>
      <c r="B17" s="76"/>
      <c r="C17" s="61" t="s">
        <v>528</v>
      </c>
      <c r="D17" s="74" t="s">
        <v>436</v>
      </c>
      <c r="E17" s="840">
        <v>286359</v>
      </c>
      <c r="F17" s="32"/>
      <c r="G17" s="840">
        <v>286359</v>
      </c>
      <c r="H17" s="32"/>
      <c r="I17" s="140">
        <f>IF(G17="",0,(E17+G17)/2)</f>
        <v>286359</v>
      </c>
      <c r="J17"/>
      <c r="K17" s="140"/>
      <c r="L17" s="32"/>
      <c r="M17" s="73"/>
      <c r="N17" s="73"/>
    </row>
    <row r="18" spans="1:14">
      <c r="A18" s="76"/>
      <c r="B18" s="76"/>
      <c r="C18" s="61"/>
      <c r="D18"/>
      <c r="E18"/>
      <c r="F18"/>
      <c r="G18"/>
      <c r="H18"/>
      <c r="I18" s="5"/>
      <c r="J18"/>
      <c r="K18"/>
      <c r="L18" s="32"/>
      <c r="M18" s="73"/>
      <c r="N18" s="73"/>
    </row>
    <row r="19" spans="1:14">
      <c r="A19" s="76">
        <f>+A17+1</f>
        <v>3</v>
      </c>
      <c r="B19" s="76"/>
      <c r="C19" s="61" t="s">
        <v>530</v>
      </c>
      <c r="D19" s="74" t="s">
        <v>437</v>
      </c>
      <c r="E19" s="840">
        <v>584519</v>
      </c>
      <c r="F19" s="32"/>
      <c r="G19" s="840">
        <v>584519</v>
      </c>
      <c r="H19" s="77"/>
      <c r="I19" s="140">
        <f>IF(G19="",0,(E19+G19)/2)</f>
        <v>584519</v>
      </c>
      <c r="J19" s="16"/>
      <c r="K19" s="82"/>
      <c r="L19" s="83"/>
      <c r="M19" s="73"/>
      <c r="N19" s="73"/>
    </row>
    <row r="20" spans="1:14">
      <c r="A20" s="76"/>
      <c r="B20" s="76"/>
      <c r="C20" s="61"/>
      <c r="D20" s="74"/>
      <c r="E20"/>
      <c r="F20"/>
      <c r="G20"/>
      <c r="H20"/>
      <c r="I20"/>
      <c r="J20"/>
      <c r="K20" s="82"/>
      <c r="L20" s="83"/>
      <c r="M20" s="73"/>
      <c r="N20" s="73"/>
    </row>
    <row r="21" spans="1:14">
      <c r="A21" s="76">
        <f>+A19+1</f>
        <v>4</v>
      </c>
      <c r="B21" s="76"/>
      <c r="C21" s="61" t="s">
        <v>751</v>
      </c>
      <c r="D21" s="74" t="s">
        <v>438</v>
      </c>
      <c r="E21" s="840">
        <v>0</v>
      </c>
      <c r="F21" s="32"/>
      <c r="G21" s="840">
        <v>0</v>
      </c>
      <c r="H21" s="77"/>
      <c r="I21" s="140">
        <f>IF(G21="",0,(E21+G21)/2)</f>
        <v>0</v>
      </c>
      <c r="J21" s="16"/>
      <c r="K21" s="82"/>
      <c r="L21" s="83"/>
      <c r="M21" s="73"/>
      <c r="N21" s="73"/>
    </row>
    <row r="22" spans="1:14">
      <c r="A22" s="76"/>
      <c r="B22" s="76"/>
      <c r="C22" s="72"/>
      <c r="D22" s="78"/>
      <c r="E22" s="71"/>
      <c r="F22" s="71"/>
      <c r="G22" s="79"/>
      <c r="H22" s="77"/>
      <c r="I22" s="79"/>
      <c r="J22" s="16"/>
      <c r="K22" s="82"/>
      <c r="L22" s="83"/>
      <c r="M22" s="73"/>
      <c r="N22" s="73"/>
    </row>
    <row r="23" spans="1:14">
      <c r="A23" s="194"/>
      <c r="B23" s="194"/>
      <c r="C23" s="195"/>
      <c r="D23" s="196"/>
      <c r="E23" s="197"/>
      <c r="F23" s="197"/>
      <c r="G23" s="198"/>
      <c r="H23" s="199"/>
      <c r="I23" s="198"/>
      <c r="J23" s="200"/>
      <c r="K23" s="201"/>
      <c r="L23" s="202"/>
      <c r="M23" s="73"/>
      <c r="N23" s="73"/>
    </row>
    <row r="24" spans="1:14" ht="18">
      <c r="A24" s="76"/>
      <c r="B24" s="1579" t="s">
        <v>750</v>
      </c>
      <c r="C24" s="1579"/>
      <c r="D24" s="1579"/>
      <c r="E24" s="1579"/>
      <c r="F24" s="1579"/>
      <c r="G24" s="1579"/>
      <c r="H24" s="1579"/>
      <c r="I24" s="1579"/>
      <c r="J24" s="1579"/>
      <c r="K24" s="1579"/>
      <c r="L24" s="83"/>
      <c r="M24" s="73"/>
      <c r="N24" s="73"/>
    </row>
    <row r="25" spans="1:14" ht="12.75" customHeight="1">
      <c r="A25" s="76"/>
      <c r="B25" s="153"/>
      <c r="C25" s="72"/>
      <c r="D25" s="26"/>
      <c r="E25" s="10"/>
      <c r="F25" s="70"/>
      <c r="G25" s="10" t="s">
        <v>88</v>
      </c>
      <c r="I25" s="8" t="s">
        <v>116</v>
      </c>
      <c r="J25" s="8" t="s">
        <v>116</v>
      </c>
      <c r="K25" s="8" t="s">
        <v>180</v>
      </c>
      <c r="L25" s="83"/>
      <c r="M25" s="73"/>
      <c r="N25" s="73"/>
    </row>
    <row r="26" spans="1:14" ht="12.75" customHeight="1">
      <c r="A26" s="76"/>
      <c r="B26" s="153"/>
      <c r="C26" s="72"/>
      <c r="D26" s="150" t="s">
        <v>502</v>
      </c>
      <c r="E26" s="8" t="s">
        <v>532</v>
      </c>
      <c r="F26" s="70"/>
      <c r="G26" s="8" t="s">
        <v>116</v>
      </c>
      <c r="I26" s="8" t="s">
        <v>524</v>
      </c>
      <c r="J26" s="8" t="s">
        <v>162</v>
      </c>
      <c r="K26" s="8" t="s">
        <v>181</v>
      </c>
      <c r="L26" s="83"/>
      <c r="M26" s="73"/>
      <c r="N26" s="73"/>
    </row>
    <row r="27" spans="1:14" ht="12.75" customHeight="1">
      <c r="A27" s="76">
        <f>+A21+1</f>
        <v>5</v>
      </c>
      <c r="B27" s="153"/>
      <c r="C27" s="72"/>
      <c r="D27" s="13" t="s">
        <v>89</v>
      </c>
      <c r="E27" s="13" t="s">
        <v>503</v>
      </c>
      <c r="F27" s="70"/>
      <c r="G27" s="13" t="s">
        <v>525</v>
      </c>
      <c r="I27" s="13" t="s">
        <v>525</v>
      </c>
      <c r="J27" s="13" t="s">
        <v>525</v>
      </c>
      <c r="K27" s="13" t="s">
        <v>526</v>
      </c>
      <c r="L27" s="83"/>
      <c r="M27" s="73"/>
      <c r="N27" s="73"/>
    </row>
    <row r="28" spans="1:14">
      <c r="A28" s="76"/>
      <c r="B28" s="76"/>
      <c r="C28" s="72"/>
      <c r="D28" s="78"/>
      <c r="E28" s="71"/>
      <c r="F28" s="71"/>
      <c r="G28" s="79"/>
      <c r="H28" s="77"/>
      <c r="I28" s="79"/>
      <c r="J28" s="16"/>
      <c r="K28" s="232"/>
      <c r="L28" s="83"/>
      <c r="M28" s="73"/>
      <c r="N28" s="73"/>
    </row>
    <row r="29" spans="1:14">
      <c r="A29" s="76">
        <f>+A27+1</f>
        <v>6</v>
      </c>
      <c r="B29" s="76"/>
      <c r="C29" s="70" t="str">
        <f>"Totals as of December 31, "&amp;TCOS!L4&amp;""</f>
        <v>Totals as of December 31, 2025</v>
      </c>
      <c r="D29" s="154">
        <f>ROUND(D63,0)</f>
        <v>31062930</v>
      </c>
      <c r="E29" s="241">
        <f>ROUND(E63,0)</f>
        <v>-200424161</v>
      </c>
      <c r="F29" s="155"/>
      <c r="G29" s="154">
        <f>ROUND(G63,0)</f>
        <v>0</v>
      </c>
      <c r="H29" s="77"/>
      <c r="I29" s="154">
        <f>ROUND(I63,0)</f>
        <v>8290653</v>
      </c>
      <c r="J29" s="156">
        <f>+J63</f>
        <v>223196438.40439132</v>
      </c>
      <c r="K29" s="154">
        <f>ROUND(K63,0)</f>
        <v>231487091</v>
      </c>
      <c r="L29" s="83"/>
      <c r="M29" s="73"/>
      <c r="N29" s="73"/>
    </row>
    <row r="30" spans="1:14">
      <c r="A30" s="76">
        <f>+A29+1</f>
        <v>7</v>
      </c>
      <c r="B30" s="76"/>
      <c r="C30" s="70" t="str">
        <f>"Totals as of December 31, "&amp;TCOS!L4-1&amp;""</f>
        <v>Totals as of December 31, 2024</v>
      </c>
      <c r="D30" s="159">
        <f>IF(D96="","",D96)</f>
        <v>31062930.405146547</v>
      </c>
      <c r="E30" s="242">
        <f>IF(E96="","",E96)</f>
        <v>-191349161.06324476</v>
      </c>
      <c r="F30" s="71"/>
      <c r="G30" s="159" t="str">
        <f>IF(G96="","",G96)</f>
        <v/>
      </c>
      <c r="H30" s="77"/>
      <c r="I30" s="159">
        <f>IF(I96="","",I96)</f>
        <v>8290653.0639596377</v>
      </c>
      <c r="J30" s="159">
        <f>IF(J96="","",J96)</f>
        <v>214121438.40443161</v>
      </c>
      <c r="K30" s="159">
        <f>IF(K96="","",K96)</f>
        <v>222412091.46839124</v>
      </c>
      <c r="L30" s="83"/>
      <c r="M30" s="73"/>
      <c r="N30" s="73"/>
    </row>
    <row r="31" spans="1:14" ht="13.5" thickBot="1">
      <c r="A31" s="76">
        <f>+A30+1</f>
        <v>8</v>
      </c>
      <c r="B31" s="76"/>
      <c r="C31" s="99" t="s">
        <v>214</v>
      </c>
      <c r="D31" s="160">
        <f>IF(D30="",0,(D29+D30)/2)</f>
        <v>31062930.202573273</v>
      </c>
      <c r="E31" s="160">
        <f>IF(E30="",0,(E29+E30)/2)</f>
        <v>-195886661.03162238</v>
      </c>
      <c r="F31" s="161"/>
      <c r="G31" s="160">
        <f>IF(G30="",0,(G29+G30)/2)</f>
        <v>0</v>
      </c>
      <c r="H31" s="93"/>
      <c r="I31" s="160">
        <f>IF(I30="",0,(I29+I30)/2)</f>
        <v>8290653.0319798188</v>
      </c>
      <c r="J31" s="160">
        <f>IF(J30="",0,(J29+J30)/2)</f>
        <v>218658938.40441146</v>
      </c>
      <c r="K31" s="160">
        <f>IF(K30="",0,(K29+K30)/2)</f>
        <v>226949591.23419562</v>
      </c>
      <c r="L31" s="83"/>
      <c r="M31" s="73"/>
      <c r="N31" s="73"/>
    </row>
    <row r="32" spans="1:14" ht="13.5" thickTop="1">
      <c r="A32" s="76"/>
      <c r="B32" s="76"/>
      <c r="D32" s="78"/>
      <c r="E32" s="71"/>
      <c r="F32" s="71"/>
      <c r="G32" s="79"/>
      <c r="H32" s="77"/>
      <c r="I32" s="79"/>
      <c r="J32" s="16"/>
      <c r="K32" s="82"/>
      <c r="L32" s="83"/>
      <c r="M32" s="73"/>
      <c r="N32" s="73"/>
    </row>
    <row r="33" spans="1:14">
      <c r="A33" s="70"/>
      <c r="E33" s="70"/>
      <c r="F33" s="70"/>
      <c r="J33" s="16"/>
      <c r="K33" s="82"/>
      <c r="L33" s="83"/>
      <c r="M33" s="73"/>
      <c r="N33" s="73"/>
    </row>
    <row r="34" spans="1:14" ht="18">
      <c r="A34" s="76"/>
      <c r="B34" s="1580" t="str">
        <f>"Prepayments Account 165 - Balance @ 12/31/"&amp;D36&amp;""</f>
        <v>Prepayments Account 165 - Balance @ 12/31/2025</v>
      </c>
      <c r="C34" s="1583"/>
      <c r="D34" s="1583"/>
      <c r="E34" s="1583"/>
      <c r="F34" s="1583"/>
      <c r="G34" s="1583"/>
      <c r="H34" s="1583"/>
      <c r="I34" s="1583"/>
      <c r="J34" s="1583"/>
      <c r="K34" s="82"/>
      <c r="L34" s="83"/>
      <c r="M34" s="73"/>
      <c r="N34" s="73"/>
    </row>
    <row r="35" spans="1:14">
      <c r="A35" s="76"/>
      <c r="B35" s="146"/>
      <c r="C35" s="148"/>
      <c r="D35" s="26"/>
      <c r="E35" s="10"/>
      <c r="F35" s="70"/>
      <c r="G35" s="10" t="s">
        <v>88</v>
      </c>
      <c r="I35" s="8" t="s">
        <v>116</v>
      </c>
      <c r="J35" s="8" t="s">
        <v>116</v>
      </c>
      <c r="K35" s="8" t="s">
        <v>180</v>
      </c>
      <c r="L35"/>
      <c r="M35" s="73"/>
      <c r="N35" s="73"/>
    </row>
    <row r="36" spans="1:14">
      <c r="A36" s="76"/>
      <c r="B36" s="146"/>
      <c r="C36" s="149"/>
      <c r="D36" s="150" t="str">
        <f>""&amp;TCOS!L4</f>
        <v>2025</v>
      </c>
      <c r="E36" s="8" t="s">
        <v>532</v>
      </c>
      <c r="F36" s="70"/>
      <c r="G36" s="8" t="s">
        <v>116</v>
      </c>
      <c r="I36" s="8" t="s">
        <v>524</v>
      </c>
      <c r="J36" s="8" t="s">
        <v>162</v>
      </c>
      <c r="K36" s="8" t="s">
        <v>181</v>
      </c>
      <c r="L36"/>
      <c r="M36" s="73"/>
      <c r="N36" s="73"/>
    </row>
    <row r="37" spans="1:14">
      <c r="A37" s="76">
        <f>+A31+1</f>
        <v>9</v>
      </c>
      <c r="B37" s="13" t="s">
        <v>91</v>
      </c>
      <c r="C37" s="13" t="s">
        <v>168</v>
      </c>
      <c r="D37" s="13" t="s">
        <v>89</v>
      </c>
      <c r="E37" s="13" t="s">
        <v>503</v>
      </c>
      <c r="F37" s="70"/>
      <c r="G37" s="13" t="s">
        <v>525</v>
      </c>
      <c r="I37" s="13" t="s">
        <v>525</v>
      </c>
      <c r="J37" s="13" t="s">
        <v>525</v>
      </c>
      <c r="K37" s="13" t="s">
        <v>526</v>
      </c>
      <c r="L37" s="13" t="s">
        <v>40</v>
      </c>
      <c r="M37" s="73"/>
      <c r="N37" s="73"/>
    </row>
    <row r="38" spans="1:14">
      <c r="A38" s="76"/>
      <c r="B38" s="146"/>
      <c r="C38" s="148"/>
      <c r="D38" s="148"/>
      <c r="E38" s="148"/>
      <c r="F38" s="70"/>
      <c r="G38" s="148"/>
      <c r="I38" s="148"/>
      <c r="J38" s="148"/>
      <c r="K38" s="232"/>
      <c r="L38"/>
      <c r="M38" s="73"/>
      <c r="N38" s="73"/>
    </row>
    <row r="39" spans="1:14" ht="14.25">
      <c r="A39" s="76">
        <f>+A37+1</f>
        <v>10</v>
      </c>
      <c r="B39" s="841" t="s">
        <v>856</v>
      </c>
      <c r="C39" s="842" t="s">
        <v>857</v>
      </c>
      <c r="D39" s="1317">
        <v>5938964.4889697498</v>
      </c>
      <c r="E39" s="101">
        <f>+D39-K39</f>
        <v>0</v>
      </c>
      <c r="F39" s="1408"/>
      <c r="G39" s="107"/>
      <c r="H39" s="1408"/>
      <c r="I39" s="107">
        <f>D39</f>
        <v>5938964.4889697498</v>
      </c>
      <c r="J39" s="107"/>
      <c r="K39" s="107">
        <f t="shared" ref="K39:K56" si="0">+G39+I39+J39</f>
        <v>5938964.4889697498</v>
      </c>
      <c r="L39" t="s">
        <v>533</v>
      </c>
      <c r="M39" s="73"/>
      <c r="N39" s="73"/>
    </row>
    <row r="40" spans="1:14" ht="14.25">
      <c r="A40" s="76">
        <f t="shared" ref="A40:A52" si="1">+A39+1</f>
        <v>11</v>
      </c>
      <c r="B40" s="1207">
        <v>165000221</v>
      </c>
      <c r="C40" s="842" t="s">
        <v>858</v>
      </c>
      <c r="D40" s="1317">
        <v>5.9266836536771887E-2</v>
      </c>
      <c r="E40" s="101">
        <f t="shared" ref="E40:E61" si="2">+D40-K40</f>
        <v>5.9266836536771887E-2</v>
      </c>
      <c r="F40" s="1408"/>
      <c r="G40" s="107"/>
      <c r="H40" s="1408"/>
      <c r="I40" s="107"/>
      <c r="J40" s="107"/>
      <c r="K40" s="107">
        <f t="shared" si="0"/>
        <v>0</v>
      </c>
      <c r="L40" t="s">
        <v>115</v>
      </c>
      <c r="M40" s="73"/>
      <c r="N40" s="73"/>
    </row>
    <row r="41" spans="1:14" ht="14.25">
      <c r="A41" s="76">
        <f t="shared" si="1"/>
        <v>12</v>
      </c>
      <c r="B41" s="1207">
        <v>165000222</v>
      </c>
      <c r="C41" s="842" t="s">
        <v>858</v>
      </c>
      <c r="D41" s="1317">
        <v>0</v>
      </c>
      <c r="E41" s="101">
        <f t="shared" si="2"/>
        <v>0</v>
      </c>
      <c r="F41" s="1408"/>
      <c r="G41" s="107"/>
      <c r="H41" s="1408"/>
      <c r="I41" s="107"/>
      <c r="J41" s="107"/>
      <c r="K41" s="107">
        <f t="shared" si="0"/>
        <v>0</v>
      </c>
      <c r="L41" t="s">
        <v>879</v>
      </c>
      <c r="M41" s="73"/>
      <c r="N41" s="73"/>
    </row>
    <row r="42" spans="1:14" ht="14.25">
      <c r="A42" s="76">
        <f t="shared" si="1"/>
        <v>13</v>
      </c>
      <c r="B42" s="841" t="s">
        <v>859</v>
      </c>
      <c r="C42" s="842" t="s">
        <v>860</v>
      </c>
      <c r="D42" s="1317">
        <v>0</v>
      </c>
      <c r="E42" s="101">
        <f t="shared" si="2"/>
        <v>0</v>
      </c>
      <c r="F42" s="1408"/>
      <c r="G42" s="107"/>
      <c r="H42" s="1408"/>
      <c r="I42" s="107"/>
      <c r="J42" s="107"/>
      <c r="K42" s="107">
        <f t="shared" si="0"/>
        <v>0</v>
      </c>
      <c r="L42" t="s">
        <v>880</v>
      </c>
      <c r="M42" s="73"/>
      <c r="N42" s="73"/>
    </row>
    <row r="43" spans="1:14" ht="14.25">
      <c r="A43" s="76">
        <f t="shared" si="1"/>
        <v>14</v>
      </c>
      <c r="B43" s="841" t="s">
        <v>861</v>
      </c>
      <c r="C43" s="842" t="s">
        <v>862</v>
      </c>
      <c r="D43" s="1317">
        <v>0</v>
      </c>
      <c r="E43" s="101">
        <f t="shared" si="2"/>
        <v>0</v>
      </c>
      <c r="F43" s="1408"/>
      <c r="G43" s="1409"/>
      <c r="H43" s="1408"/>
      <c r="I43" s="1409"/>
      <c r="J43" s="1409"/>
      <c r="K43" s="1409">
        <f t="shared" si="0"/>
        <v>0</v>
      </c>
      <c r="L43" t="s">
        <v>115</v>
      </c>
      <c r="M43" s="73"/>
      <c r="N43" s="73"/>
    </row>
    <row r="44" spans="1:14" ht="14.25">
      <c r="A44" s="76">
        <f t="shared" si="1"/>
        <v>15</v>
      </c>
      <c r="B44" s="841" t="s">
        <v>863</v>
      </c>
      <c r="C44" s="842" t="s">
        <v>864</v>
      </c>
      <c r="D44" s="1317">
        <v>3746426.7933050971</v>
      </c>
      <c r="E44" s="101">
        <f t="shared" si="2"/>
        <v>3746426.7933050971</v>
      </c>
      <c r="F44" s="1408"/>
      <c r="G44" s="107"/>
      <c r="H44" s="1408"/>
      <c r="I44" s="107"/>
      <c r="J44" s="107"/>
      <c r="K44" s="1409">
        <f t="shared" si="0"/>
        <v>0</v>
      </c>
      <c r="L44" t="s">
        <v>881</v>
      </c>
      <c r="M44" s="73"/>
      <c r="N44" s="73"/>
    </row>
    <row r="45" spans="1:14" ht="14.25">
      <c r="A45" s="76">
        <f t="shared" si="1"/>
        <v>16</v>
      </c>
      <c r="B45" s="841" t="s">
        <v>865</v>
      </c>
      <c r="C45" s="842" t="s">
        <v>866</v>
      </c>
      <c r="D45" s="1317">
        <v>495292.38990285562</v>
      </c>
      <c r="E45" s="101">
        <f t="shared" si="2"/>
        <v>495292.38990285562</v>
      </c>
      <c r="F45" s="1408"/>
      <c r="G45" s="107"/>
      <c r="H45" s="1408"/>
      <c r="I45" s="107"/>
      <c r="J45" s="107"/>
      <c r="K45" s="1409">
        <f t="shared" si="0"/>
        <v>0</v>
      </c>
      <c r="L45" t="s">
        <v>882</v>
      </c>
      <c r="M45" s="73"/>
      <c r="N45" s="73"/>
    </row>
    <row r="46" spans="1:14" ht="14.25">
      <c r="A46" s="76">
        <f t="shared" si="1"/>
        <v>17</v>
      </c>
      <c r="B46" s="841" t="s">
        <v>867</v>
      </c>
      <c r="C46" s="842" t="s">
        <v>868</v>
      </c>
      <c r="D46" s="1317">
        <v>87309874.176391304</v>
      </c>
      <c r="E46" s="101">
        <f t="shared" si="2"/>
        <v>0</v>
      </c>
      <c r="F46" s="1408"/>
      <c r="G46" s="107"/>
      <c r="H46" s="1408"/>
      <c r="I46" s="107"/>
      <c r="J46" s="107">
        <f>D46</f>
        <v>87309874.176391304</v>
      </c>
      <c r="K46" s="1409">
        <f t="shared" si="0"/>
        <v>87309874.176391304</v>
      </c>
      <c r="L46" s="259" t="s">
        <v>527</v>
      </c>
      <c r="M46" s="73"/>
      <c r="N46" s="73"/>
    </row>
    <row r="47" spans="1:14" ht="14.25">
      <c r="A47" s="76">
        <f t="shared" si="1"/>
        <v>18</v>
      </c>
      <c r="B47" s="841" t="s">
        <v>869</v>
      </c>
      <c r="C47" s="842" t="s">
        <v>870</v>
      </c>
      <c r="D47" s="1317">
        <v>-87309874.176391304</v>
      </c>
      <c r="E47" s="101">
        <f t="shared" si="2"/>
        <v>-87309874.176391304</v>
      </c>
      <c r="F47" s="1408"/>
      <c r="G47" s="1409"/>
      <c r="H47" s="1408"/>
      <c r="I47" s="1409"/>
      <c r="J47" s="1409"/>
      <c r="K47" s="1409">
        <f t="shared" si="0"/>
        <v>0</v>
      </c>
      <c r="L47" t="s">
        <v>31</v>
      </c>
      <c r="M47" s="73"/>
      <c r="N47" s="73"/>
    </row>
    <row r="48" spans="1:14" ht="14.25">
      <c r="A48" s="76">
        <f t="shared" si="1"/>
        <v>19</v>
      </c>
      <c r="B48" s="844">
        <v>165001123</v>
      </c>
      <c r="C48" s="842" t="s">
        <v>871</v>
      </c>
      <c r="D48" s="1317">
        <v>1005635.6818444794</v>
      </c>
      <c r="E48" s="101">
        <f t="shared" si="2"/>
        <v>1005635.6818444794</v>
      </c>
      <c r="F48" s="1408"/>
      <c r="G48" s="1409"/>
      <c r="H48" s="1408"/>
      <c r="I48" s="1409"/>
      <c r="J48" s="1409"/>
      <c r="K48" s="1409">
        <f t="shared" si="0"/>
        <v>0</v>
      </c>
      <c r="L48" t="s">
        <v>883</v>
      </c>
      <c r="M48" s="73"/>
      <c r="N48" s="73"/>
    </row>
    <row r="49" spans="1:14" ht="14.25">
      <c r="A49" s="76">
        <f t="shared" si="1"/>
        <v>20</v>
      </c>
      <c r="B49" s="844">
        <v>165001223</v>
      </c>
      <c r="C49" s="842" t="s">
        <v>872</v>
      </c>
      <c r="D49" s="1317">
        <v>68647.028388865059</v>
      </c>
      <c r="E49" s="101">
        <f t="shared" si="2"/>
        <v>68647.028388865059</v>
      </c>
      <c r="F49" s="1408"/>
      <c r="G49" s="1409"/>
      <c r="H49" s="1408"/>
      <c r="I49" s="1409"/>
      <c r="J49" s="1409"/>
      <c r="K49" s="1409">
        <f t="shared" si="0"/>
        <v>0</v>
      </c>
      <c r="L49" t="s">
        <v>884</v>
      </c>
      <c r="M49" s="73"/>
      <c r="N49" s="73"/>
    </row>
    <row r="50" spans="1:14" ht="14.25">
      <c r="A50" s="76">
        <f t="shared" si="1"/>
        <v>21</v>
      </c>
      <c r="B50" s="844">
        <v>1650017</v>
      </c>
      <c r="C50" s="842" t="s">
        <v>1067</v>
      </c>
      <c r="D50" s="1317">
        <v>0</v>
      </c>
      <c r="E50" s="101">
        <f t="shared" si="2"/>
        <v>0</v>
      </c>
      <c r="F50" s="1408"/>
      <c r="G50" s="107"/>
      <c r="H50" s="1408"/>
      <c r="I50" s="107"/>
      <c r="J50" s="107"/>
      <c r="K50" s="1409">
        <f t="shared" si="0"/>
        <v>0</v>
      </c>
      <c r="L50" t="s">
        <v>1068</v>
      </c>
      <c r="M50" s="73"/>
      <c r="N50" s="73"/>
    </row>
    <row r="51" spans="1:14" ht="14.25">
      <c r="A51" s="76">
        <f t="shared" si="1"/>
        <v>22</v>
      </c>
      <c r="B51" s="844">
        <v>1650021</v>
      </c>
      <c r="C51" s="842" t="s">
        <v>873</v>
      </c>
      <c r="D51" s="1317">
        <v>2351688.5749898879</v>
      </c>
      <c r="E51" s="101">
        <f t="shared" si="2"/>
        <v>0</v>
      </c>
      <c r="F51" s="1408"/>
      <c r="G51" s="1409"/>
      <c r="H51" s="1408"/>
      <c r="I51" s="1409">
        <f>D51</f>
        <v>2351688.5749898879</v>
      </c>
      <c r="J51" s="1409"/>
      <c r="K51" s="1409">
        <f t="shared" si="0"/>
        <v>2351688.5749898879</v>
      </c>
      <c r="L51" t="s">
        <v>885</v>
      </c>
      <c r="M51" s="73"/>
      <c r="N51" s="73"/>
    </row>
    <row r="52" spans="1:14" ht="14.25">
      <c r="A52" s="76">
        <f t="shared" si="1"/>
        <v>23</v>
      </c>
      <c r="B52" s="844">
        <v>1650022</v>
      </c>
      <c r="C52" s="842" t="s">
        <v>874</v>
      </c>
      <c r="D52" s="1317">
        <v>0</v>
      </c>
      <c r="E52" s="101">
        <f t="shared" si="2"/>
        <v>0</v>
      </c>
      <c r="F52" s="1408"/>
      <c r="G52" s="1409"/>
      <c r="H52" s="1408"/>
      <c r="I52" s="1409"/>
      <c r="J52" s="1409"/>
      <c r="K52" s="1409">
        <f t="shared" si="0"/>
        <v>0</v>
      </c>
      <c r="L52" s="1408"/>
      <c r="M52" s="73"/>
      <c r="N52" s="73"/>
    </row>
    <row r="53" spans="1:14" ht="14.25">
      <c r="A53" s="76">
        <f t="shared" ref="A53:A63" si="3">A52+1</f>
        <v>24</v>
      </c>
      <c r="B53" s="844">
        <v>1650023</v>
      </c>
      <c r="C53" s="842" t="s">
        <v>875</v>
      </c>
      <c r="D53" s="1317">
        <v>492344.88713808148</v>
      </c>
      <c r="E53" s="101">
        <f t="shared" si="2"/>
        <v>492344.88713808148</v>
      </c>
      <c r="F53" s="1408"/>
      <c r="G53" s="1409"/>
      <c r="H53" s="1408"/>
      <c r="I53" s="1409"/>
      <c r="J53" s="1409"/>
      <c r="K53" s="1409">
        <f t="shared" si="0"/>
        <v>0</v>
      </c>
      <c r="L53" t="s">
        <v>946</v>
      </c>
      <c r="M53" s="73"/>
      <c r="N53" s="73"/>
    </row>
    <row r="54" spans="1:14" ht="14.25">
      <c r="A54" s="76">
        <f t="shared" si="3"/>
        <v>25</v>
      </c>
      <c r="B54" s="844">
        <v>1650024</v>
      </c>
      <c r="C54" s="842" t="s">
        <v>1153</v>
      </c>
      <c r="D54" s="1317">
        <v>2629965.8713192525</v>
      </c>
      <c r="E54" s="101">
        <f t="shared" si="2"/>
        <v>2629965.8713192525</v>
      </c>
      <c r="F54" s="1408"/>
      <c r="G54" s="107"/>
      <c r="H54" s="1408"/>
      <c r="I54" s="107"/>
      <c r="J54" s="107"/>
      <c r="K54" s="1409">
        <f t="shared" si="0"/>
        <v>0</v>
      </c>
      <c r="L54" t="s">
        <v>1068</v>
      </c>
      <c r="M54" s="73"/>
      <c r="N54" s="73"/>
    </row>
    <row r="55" spans="1:14" ht="14.25">
      <c r="A55" s="76">
        <f t="shared" si="3"/>
        <v>26</v>
      </c>
      <c r="B55" s="844">
        <v>1650026</v>
      </c>
      <c r="C55" s="842" t="s">
        <v>876</v>
      </c>
      <c r="D55" s="1317">
        <v>0</v>
      </c>
      <c r="E55" s="101">
        <f t="shared" si="2"/>
        <v>0</v>
      </c>
      <c r="F55" s="1408"/>
      <c r="G55" s="1409"/>
      <c r="H55" s="1408"/>
      <c r="I55" s="1409"/>
      <c r="J55" s="1409"/>
      <c r="K55" s="1409">
        <f t="shared" si="0"/>
        <v>0</v>
      </c>
      <c r="L55" s="259"/>
      <c r="M55" s="73"/>
      <c r="N55" s="73"/>
    </row>
    <row r="56" spans="1:14" ht="14.25">
      <c r="A56" s="76">
        <f t="shared" si="3"/>
        <v>27</v>
      </c>
      <c r="B56" s="844">
        <v>1650030</v>
      </c>
      <c r="C56" s="842" t="s">
        <v>948</v>
      </c>
      <c r="D56" s="1317">
        <v>423910.28590807336</v>
      </c>
      <c r="E56" s="101">
        <f t="shared" si="2"/>
        <v>423910.28590807336</v>
      </c>
      <c r="F56" s="1408"/>
      <c r="G56" s="107"/>
      <c r="H56" s="1408"/>
      <c r="I56" s="107"/>
      <c r="J56" s="107"/>
      <c r="K56" s="1409">
        <f t="shared" si="0"/>
        <v>0</v>
      </c>
      <c r="L56" s="259" t="s">
        <v>947</v>
      </c>
      <c r="M56" s="73"/>
      <c r="N56" s="73"/>
    </row>
    <row r="57" spans="1:14" ht="14.25">
      <c r="A57" s="76">
        <f t="shared" si="3"/>
        <v>28</v>
      </c>
      <c r="B57" s="844">
        <v>1650035</v>
      </c>
      <c r="C57" s="842" t="s">
        <v>877</v>
      </c>
      <c r="D57" s="1317">
        <v>135886564.22800002</v>
      </c>
      <c r="E57" s="101">
        <f t="shared" si="2"/>
        <v>0</v>
      </c>
      <c r="F57" s="1408"/>
      <c r="G57" s="107"/>
      <c r="H57" s="1408"/>
      <c r="I57" s="107"/>
      <c r="J57" s="107">
        <f>D57</f>
        <v>135886564.22800002</v>
      </c>
      <c r="K57" s="1409">
        <f>J57</f>
        <v>135886564.22800002</v>
      </c>
      <c r="L57" s="259" t="s">
        <v>886</v>
      </c>
      <c r="M57" s="73"/>
      <c r="N57" s="73"/>
    </row>
    <row r="58" spans="1:14" ht="14.25">
      <c r="A58" s="76">
        <f t="shared" si="3"/>
        <v>29</v>
      </c>
      <c r="B58" s="844">
        <v>1650037</v>
      </c>
      <c r="C58" s="842" t="s">
        <v>878</v>
      </c>
      <c r="D58" s="1317">
        <v>-135886564.22800002</v>
      </c>
      <c r="E58" s="101">
        <f t="shared" si="2"/>
        <v>-135886564.22800002</v>
      </c>
      <c r="F58" s="1408"/>
      <c r="G58" s="107"/>
      <c r="H58" s="1408"/>
      <c r="I58" s="107"/>
      <c r="J58" s="107"/>
      <c r="K58" s="1409">
        <f>J58</f>
        <v>0</v>
      </c>
      <c r="L58" t="s">
        <v>31</v>
      </c>
      <c r="M58" s="73"/>
      <c r="N58" s="73"/>
    </row>
    <row r="59" spans="1:14" ht="14.25">
      <c r="A59" s="76">
        <f t="shared" si="3"/>
        <v>30</v>
      </c>
      <c r="B59" s="844" t="s">
        <v>1154</v>
      </c>
      <c r="C59" s="842" t="s">
        <v>1155</v>
      </c>
      <c r="D59" s="1317">
        <v>1254362.2371424269</v>
      </c>
      <c r="E59" s="101">
        <f t="shared" si="2"/>
        <v>1254362.2371424269</v>
      </c>
      <c r="F59" s="1408"/>
      <c r="G59" s="1409"/>
      <c r="H59" s="1408"/>
      <c r="I59" s="1409"/>
      <c r="J59" s="1409"/>
      <c r="K59" s="1409">
        <f t="shared" ref="K59:K61" si="4">+G59+I59+J59</f>
        <v>0</v>
      </c>
      <c r="L59"/>
      <c r="M59" s="73"/>
      <c r="N59" s="73"/>
    </row>
    <row r="60" spans="1:14" ht="14.25">
      <c r="A60" s="76">
        <f t="shared" si="3"/>
        <v>31</v>
      </c>
      <c r="B60" s="844" t="s">
        <v>1156</v>
      </c>
      <c r="C60" s="842" t="s">
        <v>1157</v>
      </c>
      <c r="D60" s="1317">
        <v>11340709.171311302</v>
      </c>
      <c r="E60" s="101">
        <f t="shared" si="2"/>
        <v>11340709.171311302</v>
      </c>
      <c r="F60" s="1408"/>
      <c r="G60" s="1409"/>
      <c r="H60" s="1408"/>
      <c r="I60" s="1409"/>
      <c r="J60" s="1409"/>
      <c r="K60" s="1409">
        <f t="shared" si="4"/>
        <v>0</v>
      </c>
      <c r="L60"/>
      <c r="M60" s="73"/>
      <c r="N60" s="73"/>
    </row>
    <row r="61" spans="1:14" ht="14.25">
      <c r="A61" s="76">
        <f t="shared" si="3"/>
        <v>32</v>
      </c>
      <c r="B61" s="844" t="s">
        <v>1158</v>
      </c>
      <c r="C61" s="842" t="s">
        <v>1159</v>
      </c>
      <c r="D61" s="1317">
        <v>1314982.9356596263</v>
      </c>
      <c r="E61" s="101">
        <f t="shared" si="2"/>
        <v>1314982.9356596263</v>
      </c>
      <c r="F61" s="1408"/>
      <c r="G61" s="1409"/>
      <c r="H61" s="1408"/>
      <c r="I61" s="1409"/>
      <c r="J61" s="1409"/>
      <c r="K61" s="1409">
        <f t="shared" si="4"/>
        <v>0</v>
      </c>
      <c r="L61"/>
      <c r="M61" s="73"/>
      <c r="N61" s="73"/>
    </row>
    <row r="62" spans="1:14" ht="15" thickBot="1">
      <c r="A62" s="76">
        <f t="shared" si="3"/>
        <v>33</v>
      </c>
      <c r="B62" s="844"/>
      <c r="C62" s="842"/>
      <c r="D62" s="1317"/>
      <c r="E62" s="1409"/>
      <c r="F62" s="1408"/>
      <c r="G62" s="107"/>
      <c r="H62" s="1408"/>
      <c r="I62" s="107"/>
      <c r="J62" s="107"/>
      <c r="K62" s="1409"/>
      <c r="L62" s="1408"/>
      <c r="M62" s="73"/>
      <c r="N62" s="73"/>
    </row>
    <row r="63" spans="1:14" ht="14.25">
      <c r="A63" s="76">
        <f t="shared" si="3"/>
        <v>34</v>
      </c>
      <c r="B63" s="146"/>
      <c r="C63" s="35" t="s">
        <v>504</v>
      </c>
      <c r="D63" s="845">
        <f>SUM(D39:D62)</f>
        <v>31062930.405146547</v>
      </c>
      <c r="E63" s="240">
        <f>SUM(E39:E62)</f>
        <v>-200424161.06320447</v>
      </c>
      <c r="F63" s="70"/>
      <c r="G63" s="151">
        <f>SUM(G39:G62)</f>
        <v>0</v>
      </c>
      <c r="I63" s="151">
        <f>SUM(I39:I62)</f>
        <v>8290653.0639596377</v>
      </c>
      <c r="J63" s="151">
        <f>SUM(J39:J62)</f>
        <v>223196438.40439132</v>
      </c>
      <c r="K63" s="151">
        <f>SUM(K39:K62)</f>
        <v>231487091.46835095</v>
      </c>
      <c r="L63"/>
      <c r="M63" s="73"/>
      <c r="N63" s="73"/>
    </row>
    <row r="64" spans="1:14">
      <c r="A64" s="76"/>
      <c r="K64" s="152"/>
      <c r="L64"/>
      <c r="M64" s="73"/>
      <c r="N64" s="73"/>
    </row>
    <row r="65" spans="1:15">
      <c r="A65" s="76"/>
      <c r="B65"/>
      <c r="C65"/>
      <c r="D65"/>
      <c r="E65"/>
      <c r="F65"/>
      <c r="G65"/>
      <c r="H65"/>
      <c r="I65"/>
      <c r="J65"/>
      <c r="K65"/>
      <c r="L65"/>
      <c r="M65" s="21"/>
      <c r="N65" s="21"/>
      <c r="O65"/>
    </row>
    <row r="66" spans="1:15" ht="18">
      <c r="A66" s="76"/>
      <c r="B66" s="1580" t="str">
        <f>"Prepayments Account 165 - Balance @ 12/31/ "&amp;D68&amp;""</f>
        <v>Prepayments Account 165 - Balance @ 12/31/ 2024</v>
      </c>
      <c r="C66" s="1580"/>
      <c r="D66" s="1580"/>
      <c r="E66" s="1580"/>
      <c r="F66" s="1580"/>
      <c r="G66" s="1580"/>
      <c r="H66" s="1580"/>
      <c r="I66" s="1580"/>
      <c r="J66" s="1580"/>
      <c r="K66" s="82"/>
      <c r="L66" s="83"/>
      <c r="M66" s="73"/>
      <c r="N66" s="21"/>
      <c r="O66"/>
    </row>
    <row r="67" spans="1:15">
      <c r="A67" s="76"/>
      <c r="B67" s="253"/>
      <c r="C67" s="254"/>
      <c r="D67" s="255"/>
      <c r="E67" s="10"/>
      <c r="F67" s="70"/>
      <c r="G67" s="10" t="s">
        <v>88</v>
      </c>
      <c r="I67" s="8" t="s">
        <v>116</v>
      </c>
      <c r="J67" s="8" t="s">
        <v>116</v>
      </c>
      <c r="K67" s="8" t="s">
        <v>180</v>
      </c>
      <c r="L67"/>
      <c r="M67" s="73"/>
      <c r="N67" s="21"/>
      <c r="O67"/>
    </row>
    <row r="68" spans="1:15">
      <c r="A68" s="76"/>
      <c r="B68" s="253"/>
      <c r="C68" s="256"/>
      <c r="D68" s="8" t="str">
        <f>""&amp;TCOS!L4-1</f>
        <v>2024</v>
      </c>
      <c r="E68" s="8" t="s">
        <v>532</v>
      </c>
      <c r="F68" s="70"/>
      <c r="G68" s="8" t="s">
        <v>116</v>
      </c>
      <c r="I68" s="8" t="s">
        <v>524</v>
      </c>
      <c r="J68" s="8" t="s">
        <v>162</v>
      </c>
      <c r="K68" s="8" t="s">
        <v>181</v>
      </c>
      <c r="L68"/>
      <c r="M68" s="73"/>
      <c r="N68" s="21"/>
      <c r="O68"/>
    </row>
    <row r="69" spans="1:15">
      <c r="A69" s="76">
        <f>A63+1</f>
        <v>35</v>
      </c>
      <c r="B69" s="13" t="s">
        <v>91</v>
      </c>
      <c r="C69" s="13" t="s">
        <v>168</v>
      </c>
      <c r="D69" s="13" t="s">
        <v>89</v>
      </c>
      <c r="E69" s="13" t="s">
        <v>503</v>
      </c>
      <c r="F69" s="70"/>
      <c r="G69" s="13" t="s">
        <v>525</v>
      </c>
      <c r="I69" s="13" t="s">
        <v>525</v>
      </c>
      <c r="J69" s="13" t="s">
        <v>525</v>
      </c>
      <c r="K69" s="13" t="s">
        <v>526</v>
      </c>
      <c r="L69" s="13" t="s">
        <v>40</v>
      </c>
      <c r="M69" s="73"/>
      <c r="N69" s="21"/>
      <c r="O69"/>
    </row>
    <row r="70" spans="1:15">
      <c r="A70" s="76"/>
      <c r="B70" s="146"/>
      <c r="C70" s="148"/>
      <c r="D70" s="148"/>
      <c r="E70" s="148"/>
      <c r="F70" s="70"/>
      <c r="G70" s="148"/>
      <c r="I70" s="148"/>
      <c r="J70" s="148"/>
      <c r="K70" s="148"/>
      <c r="L70"/>
      <c r="M70" s="73"/>
      <c r="N70" s="21"/>
      <c r="O70"/>
    </row>
    <row r="71" spans="1:15" ht="14.25">
      <c r="A71" s="76">
        <f>+A69+1</f>
        <v>36</v>
      </c>
      <c r="B71" s="841" t="s">
        <v>856</v>
      </c>
      <c r="C71" s="842" t="s">
        <v>857</v>
      </c>
      <c r="D71" s="1317">
        <v>5938964.4889697498</v>
      </c>
      <c r="E71" s="101">
        <f>+D71-K71</f>
        <v>0</v>
      </c>
      <c r="F71" s="1408"/>
      <c r="G71" s="107"/>
      <c r="H71" s="1408"/>
      <c r="I71" s="107">
        <f>D71</f>
        <v>5938964.4889697498</v>
      </c>
      <c r="J71" s="107"/>
      <c r="K71" s="107">
        <f t="shared" ref="K71:K88" si="5">+G71+I71+J71</f>
        <v>5938964.4889697498</v>
      </c>
      <c r="L71" t="s">
        <v>533</v>
      </c>
      <c r="M71" s="73"/>
      <c r="N71" s="21"/>
      <c r="O71"/>
    </row>
    <row r="72" spans="1:15" ht="14.25">
      <c r="A72" s="76">
        <f t="shared" ref="A72:A96" si="6">+A71+1</f>
        <v>37</v>
      </c>
      <c r="B72" s="1207">
        <v>165000221</v>
      </c>
      <c r="C72" s="842" t="s">
        <v>858</v>
      </c>
      <c r="D72" s="1317">
        <v>5.9266836536771887E-2</v>
      </c>
      <c r="E72" s="101">
        <f t="shared" ref="E72:E93" si="7">+D72-K72</f>
        <v>5.9266836536771887E-2</v>
      </c>
      <c r="F72" s="1408"/>
      <c r="G72" s="107"/>
      <c r="H72" s="1408"/>
      <c r="I72" s="107"/>
      <c r="J72" s="107"/>
      <c r="K72" s="107">
        <f t="shared" si="5"/>
        <v>0</v>
      </c>
      <c r="L72" t="s">
        <v>115</v>
      </c>
      <c r="M72" s="73"/>
      <c r="N72" s="21"/>
      <c r="O72"/>
    </row>
    <row r="73" spans="1:15" ht="14.25">
      <c r="A73" s="76">
        <f t="shared" si="6"/>
        <v>38</v>
      </c>
      <c r="B73" s="1207">
        <v>165000222</v>
      </c>
      <c r="C73" s="842" t="s">
        <v>858</v>
      </c>
      <c r="D73" s="1317">
        <v>0</v>
      </c>
      <c r="E73" s="101">
        <f t="shared" si="7"/>
        <v>0</v>
      </c>
      <c r="F73" s="1408"/>
      <c r="G73" s="107"/>
      <c r="H73" s="1408"/>
      <c r="I73" s="107"/>
      <c r="J73" s="107"/>
      <c r="K73" s="107">
        <f t="shared" si="5"/>
        <v>0</v>
      </c>
      <c r="L73" t="s">
        <v>879</v>
      </c>
      <c r="M73" s="73"/>
      <c r="N73" s="21"/>
      <c r="O73"/>
    </row>
    <row r="74" spans="1:15" ht="14.25">
      <c r="A74" s="76">
        <f t="shared" si="6"/>
        <v>39</v>
      </c>
      <c r="B74" s="841" t="s">
        <v>859</v>
      </c>
      <c r="C74" s="842" t="s">
        <v>860</v>
      </c>
      <c r="D74" s="1317">
        <v>0</v>
      </c>
      <c r="E74" s="101">
        <f t="shared" si="7"/>
        <v>0</v>
      </c>
      <c r="F74" s="1408"/>
      <c r="G74" s="107"/>
      <c r="H74" s="1408"/>
      <c r="I74" s="107"/>
      <c r="J74" s="107"/>
      <c r="K74" s="107">
        <f t="shared" si="5"/>
        <v>0</v>
      </c>
      <c r="L74" t="s">
        <v>880</v>
      </c>
      <c r="M74" s="73"/>
      <c r="N74" s="21"/>
      <c r="O74"/>
    </row>
    <row r="75" spans="1:15" ht="14.25">
      <c r="A75" s="76">
        <f t="shared" si="6"/>
        <v>40</v>
      </c>
      <c r="B75" s="841" t="s">
        <v>861</v>
      </c>
      <c r="C75" s="842" t="s">
        <v>862</v>
      </c>
      <c r="D75" s="1317">
        <v>0</v>
      </c>
      <c r="E75" s="101">
        <f t="shared" si="7"/>
        <v>0</v>
      </c>
      <c r="F75" s="1408"/>
      <c r="G75" s="1409"/>
      <c r="H75" s="1408"/>
      <c r="I75" s="1409"/>
      <c r="J75" s="1409"/>
      <c r="K75" s="1409">
        <f t="shared" si="5"/>
        <v>0</v>
      </c>
      <c r="L75" t="s">
        <v>115</v>
      </c>
      <c r="M75" s="73"/>
      <c r="N75" s="21"/>
      <c r="O75"/>
    </row>
    <row r="76" spans="1:15" ht="14.25">
      <c r="A76" s="76">
        <f t="shared" si="6"/>
        <v>41</v>
      </c>
      <c r="B76" s="841" t="s">
        <v>863</v>
      </c>
      <c r="C76" s="842" t="s">
        <v>864</v>
      </c>
      <c r="D76" s="1317">
        <v>3746426.7933050971</v>
      </c>
      <c r="E76" s="101">
        <f t="shared" si="7"/>
        <v>3746426.7933050971</v>
      </c>
      <c r="F76" s="1408"/>
      <c r="G76" s="107"/>
      <c r="H76" s="1408"/>
      <c r="I76" s="107"/>
      <c r="J76" s="107"/>
      <c r="K76" s="1409">
        <f t="shared" si="5"/>
        <v>0</v>
      </c>
      <c r="L76" t="s">
        <v>881</v>
      </c>
      <c r="M76" s="73"/>
      <c r="N76" s="21"/>
      <c r="O76"/>
    </row>
    <row r="77" spans="1:15" ht="14.25">
      <c r="A77" s="76">
        <f t="shared" si="6"/>
        <v>42</v>
      </c>
      <c r="B77" s="841" t="s">
        <v>865</v>
      </c>
      <c r="C77" s="842" t="s">
        <v>866</v>
      </c>
      <c r="D77" s="1317">
        <v>495292.38990285562</v>
      </c>
      <c r="E77" s="101">
        <f t="shared" si="7"/>
        <v>495292.38990285562</v>
      </c>
      <c r="F77" s="1408"/>
      <c r="G77" s="107"/>
      <c r="H77" s="1408"/>
      <c r="I77" s="107"/>
      <c r="J77" s="107"/>
      <c r="K77" s="1409">
        <f t="shared" si="5"/>
        <v>0</v>
      </c>
      <c r="L77" t="s">
        <v>882</v>
      </c>
      <c r="M77" s="73"/>
      <c r="N77" s="21"/>
      <c r="O77"/>
    </row>
    <row r="78" spans="1:15" ht="14.25">
      <c r="A78" s="76">
        <f t="shared" si="6"/>
        <v>43</v>
      </c>
      <c r="B78" s="841" t="s">
        <v>867</v>
      </c>
      <c r="C78" s="842" t="s">
        <v>868</v>
      </c>
      <c r="D78" s="1317">
        <v>78234874.176431596</v>
      </c>
      <c r="E78" s="101">
        <f t="shared" si="7"/>
        <v>0</v>
      </c>
      <c r="F78" s="1408"/>
      <c r="G78" s="107"/>
      <c r="H78" s="1408"/>
      <c r="I78" s="107"/>
      <c r="J78" s="107">
        <f>D78</f>
        <v>78234874.176431596</v>
      </c>
      <c r="K78" s="1409">
        <f t="shared" si="5"/>
        <v>78234874.176431596</v>
      </c>
      <c r="L78" s="259" t="s">
        <v>527</v>
      </c>
      <c r="M78" s="73"/>
      <c r="N78" s="21"/>
      <c r="O78"/>
    </row>
    <row r="79" spans="1:15" ht="14.25">
      <c r="A79" s="76">
        <f t="shared" si="6"/>
        <v>44</v>
      </c>
      <c r="B79" s="841" t="s">
        <v>869</v>
      </c>
      <c r="C79" s="842" t="s">
        <v>870</v>
      </c>
      <c r="D79" s="1317">
        <v>-78234874.176431596</v>
      </c>
      <c r="E79" s="101">
        <f t="shared" si="7"/>
        <v>-78234874.176431596</v>
      </c>
      <c r="F79" s="1408"/>
      <c r="G79" s="1409"/>
      <c r="H79" s="1408"/>
      <c r="I79" s="1409"/>
      <c r="J79" s="1409"/>
      <c r="K79" s="1409">
        <f t="shared" si="5"/>
        <v>0</v>
      </c>
      <c r="L79" t="s">
        <v>31</v>
      </c>
      <c r="M79" s="73"/>
      <c r="N79" s="21"/>
      <c r="O79"/>
    </row>
    <row r="80" spans="1:15" ht="14.25">
      <c r="A80" s="76">
        <f t="shared" si="6"/>
        <v>45</v>
      </c>
      <c r="B80" s="844">
        <v>165001123</v>
      </c>
      <c r="C80" s="842" t="s">
        <v>871</v>
      </c>
      <c r="D80" s="1317">
        <v>1005635.6818444794</v>
      </c>
      <c r="E80" s="101">
        <f t="shared" si="7"/>
        <v>1005635.6818444794</v>
      </c>
      <c r="F80" s="1408"/>
      <c r="G80" s="1409"/>
      <c r="H80" s="1408"/>
      <c r="I80" s="1409"/>
      <c r="J80" s="1409"/>
      <c r="K80" s="1409">
        <f t="shared" si="5"/>
        <v>0</v>
      </c>
      <c r="L80" t="s">
        <v>883</v>
      </c>
      <c r="M80" s="73"/>
      <c r="N80" s="21"/>
      <c r="O80"/>
    </row>
    <row r="81" spans="1:15" ht="14.25">
      <c r="A81" s="76">
        <f t="shared" si="6"/>
        <v>46</v>
      </c>
      <c r="B81" s="844">
        <v>165001223</v>
      </c>
      <c r="C81" s="842" t="s">
        <v>872</v>
      </c>
      <c r="D81" s="1317">
        <v>68647.028388865059</v>
      </c>
      <c r="E81" s="101">
        <f t="shared" si="7"/>
        <v>68647.028388865059</v>
      </c>
      <c r="F81" s="1408"/>
      <c r="G81" s="1409"/>
      <c r="H81" s="1408"/>
      <c r="I81" s="1409"/>
      <c r="J81" s="1409"/>
      <c r="K81" s="1409">
        <f t="shared" si="5"/>
        <v>0</v>
      </c>
      <c r="L81" t="s">
        <v>884</v>
      </c>
      <c r="M81" s="73"/>
      <c r="N81" s="21"/>
      <c r="O81"/>
    </row>
    <row r="82" spans="1:15" ht="14.25">
      <c r="A82" s="76">
        <f t="shared" si="6"/>
        <v>47</v>
      </c>
      <c r="B82" s="844">
        <v>1650017</v>
      </c>
      <c r="C82" s="842" t="s">
        <v>1067</v>
      </c>
      <c r="D82" s="1317">
        <v>0</v>
      </c>
      <c r="E82" s="101">
        <f t="shared" si="7"/>
        <v>0</v>
      </c>
      <c r="F82" s="1408"/>
      <c r="G82" s="107"/>
      <c r="H82" s="1408"/>
      <c r="I82" s="107"/>
      <c r="J82" s="107"/>
      <c r="K82" s="1409">
        <f t="shared" si="5"/>
        <v>0</v>
      </c>
      <c r="L82" t="s">
        <v>1068</v>
      </c>
      <c r="M82" s="73"/>
      <c r="N82" s="21"/>
      <c r="O82"/>
    </row>
    <row r="83" spans="1:15" ht="14.25">
      <c r="A83" s="76">
        <f t="shared" si="6"/>
        <v>48</v>
      </c>
      <c r="B83" s="844">
        <v>1650021</v>
      </c>
      <c r="C83" s="842" t="s">
        <v>873</v>
      </c>
      <c r="D83" s="1317">
        <v>2351688.5749898879</v>
      </c>
      <c r="E83" s="101">
        <f t="shared" si="7"/>
        <v>0</v>
      </c>
      <c r="F83" s="1408"/>
      <c r="G83" s="1409"/>
      <c r="H83" s="1408"/>
      <c r="I83" s="1409">
        <f>D83</f>
        <v>2351688.5749898879</v>
      </c>
      <c r="J83" s="1409"/>
      <c r="K83" s="1409">
        <f t="shared" si="5"/>
        <v>2351688.5749898879</v>
      </c>
      <c r="L83" t="s">
        <v>885</v>
      </c>
      <c r="M83" s="73"/>
      <c r="N83" s="21"/>
      <c r="O83"/>
    </row>
    <row r="84" spans="1:15" ht="14.25">
      <c r="A84" s="76">
        <f t="shared" si="6"/>
        <v>49</v>
      </c>
      <c r="B84" s="844">
        <v>1650022</v>
      </c>
      <c r="C84" s="842" t="s">
        <v>874</v>
      </c>
      <c r="D84" s="1317">
        <v>0</v>
      </c>
      <c r="E84" s="101">
        <f t="shared" si="7"/>
        <v>0</v>
      </c>
      <c r="F84" s="1408"/>
      <c r="G84" s="1409"/>
      <c r="H84" s="1408"/>
      <c r="I84" s="1409"/>
      <c r="J84" s="1409"/>
      <c r="K84" s="1409">
        <f t="shared" si="5"/>
        <v>0</v>
      </c>
      <c r="L84" s="1408"/>
      <c r="M84" s="73"/>
      <c r="N84" s="21"/>
      <c r="O84"/>
    </row>
    <row r="85" spans="1:15" ht="14.25">
      <c r="A85" s="76">
        <f t="shared" si="6"/>
        <v>50</v>
      </c>
      <c r="B85" s="844">
        <v>1650023</v>
      </c>
      <c r="C85" s="842" t="s">
        <v>875</v>
      </c>
      <c r="D85" s="1317">
        <v>492344.88713808148</v>
      </c>
      <c r="E85" s="101">
        <f t="shared" si="7"/>
        <v>492344.88713808148</v>
      </c>
      <c r="F85" s="1408"/>
      <c r="G85" s="1409"/>
      <c r="H85" s="1408"/>
      <c r="I85" s="1409"/>
      <c r="J85" s="1409"/>
      <c r="K85" s="1409">
        <f t="shared" si="5"/>
        <v>0</v>
      </c>
      <c r="L85" t="s">
        <v>946</v>
      </c>
      <c r="M85" s="73"/>
      <c r="N85" s="21"/>
      <c r="O85"/>
    </row>
    <row r="86" spans="1:15" ht="14.25">
      <c r="A86" s="76">
        <f t="shared" si="6"/>
        <v>51</v>
      </c>
      <c r="B86" s="844">
        <v>1650024</v>
      </c>
      <c r="C86" s="842" t="s">
        <v>1153</v>
      </c>
      <c r="D86" s="1317">
        <v>2629965.8713192525</v>
      </c>
      <c r="E86" s="101">
        <f t="shared" si="7"/>
        <v>2629965.8713192525</v>
      </c>
      <c r="F86" s="1408"/>
      <c r="G86" s="107"/>
      <c r="H86" s="1408"/>
      <c r="I86" s="107"/>
      <c r="J86" s="107"/>
      <c r="K86" s="1409">
        <f t="shared" si="5"/>
        <v>0</v>
      </c>
      <c r="L86" t="s">
        <v>1068</v>
      </c>
      <c r="M86" s="73"/>
      <c r="N86" s="21"/>
      <c r="O86"/>
    </row>
    <row r="87" spans="1:15" ht="14.25">
      <c r="A87" s="76">
        <f t="shared" si="6"/>
        <v>52</v>
      </c>
      <c r="B87" s="844">
        <v>1650026</v>
      </c>
      <c r="C87" s="842" t="s">
        <v>876</v>
      </c>
      <c r="D87" s="1317">
        <v>0</v>
      </c>
      <c r="E87" s="101">
        <f t="shared" si="7"/>
        <v>0</v>
      </c>
      <c r="F87" s="1408"/>
      <c r="G87" s="1409"/>
      <c r="H87" s="1408"/>
      <c r="I87" s="1409"/>
      <c r="J87" s="1409"/>
      <c r="K87" s="1409">
        <f t="shared" si="5"/>
        <v>0</v>
      </c>
      <c r="L87" s="259"/>
      <c r="M87" s="73"/>
      <c r="N87" s="21"/>
      <c r="O87"/>
    </row>
    <row r="88" spans="1:15" ht="14.25">
      <c r="A88" s="76">
        <f t="shared" si="6"/>
        <v>53</v>
      </c>
      <c r="B88" s="844">
        <v>1650030</v>
      </c>
      <c r="C88" s="842" t="s">
        <v>948</v>
      </c>
      <c r="D88" s="1317">
        <v>423910.28590807336</v>
      </c>
      <c r="E88" s="101">
        <f t="shared" si="7"/>
        <v>423910.28590807336</v>
      </c>
      <c r="F88" s="1408"/>
      <c r="G88" s="107"/>
      <c r="H88" s="1408"/>
      <c r="I88" s="107"/>
      <c r="J88" s="107"/>
      <c r="K88" s="1409">
        <f t="shared" si="5"/>
        <v>0</v>
      </c>
      <c r="L88" s="259" t="s">
        <v>947</v>
      </c>
      <c r="M88" s="73"/>
      <c r="N88" s="21"/>
      <c r="O88"/>
    </row>
    <row r="89" spans="1:15" ht="14.25">
      <c r="A89" s="76">
        <f t="shared" si="6"/>
        <v>54</v>
      </c>
      <c r="B89" s="844">
        <v>1650035</v>
      </c>
      <c r="C89" s="842" t="s">
        <v>877</v>
      </c>
      <c r="D89" s="1317">
        <v>135886564.22800002</v>
      </c>
      <c r="E89" s="101">
        <f t="shared" si="7"/>
        <v>0</v>
      </c>
      <c r="F89" s="1408"/>
      <c r="G89" s="107"/>
      <c r="H89" s="1408"/>
      <c r="I89" s="107"/>
      <c r="J89" s="107">
        <f>D89</f>
        <v>135886564.22800002</v>
      </c>
      <c r="K89" s="1409">
        <f>J89</f>
        <v>135886564.22800002</v>
      </c>
      <c r="L89" s="259" t="s">
        <v>886</v>
      </c>
      <c r="M89" s="73"/>
      <c r="N89" s="21"/>
      <c r="O89"/>
    </row>
    <row r="90" spans="1:15" ht="14.25">
      <c r="A90" s="76">
        <f t="shared" si="6"/>
        <v>55</v>
      </c>
      <c r="B90" s="844">
        <v>1650037</v>
      </c>
      <c r="C90" s="842" t="s">
        <v>878</v>
      </c>
      <c r="D90" s="1317">
        <v>-135886564.22800002</v>
      </c>
      <c r="E90" s="101">
        <f t="shared" si="7"/>
        <v>-135886564.22800002</v>
      </c>
      <c r="F90" s="1408"/>
      <c r="G90" s="107"/>
      <c r="H90" s="1408"/>
      <c r="I90" s="107"/>
      <c r="J90" s="107"/>
      <c r="K90" s="1409">
        <f>J90</f>
        <v>0</v>
      </c>
      <c r="L90" t="s">
        <v>31</v>
      </c>
      <c r="M90" s="73"/>
      <c r="N90" s="21"/>
      <c r="O90"/>
    </row>
    <row r="91" spans="1:15" ht="14.25">
      <c r="A91" s="76">
        <f t="shared" si="6"/>
        <v>56</v>
      </c>
      <c r="B91" s="844" t="s">
        <v>1154</v>
      </c>
      <c r="C91" s="842" t="s">
        <v>1155</v>
      </c>
      <c r="D91" s="1317">
        <v>1254362.2371424269</v>
      </c>
      <c r="E91" s="101">
        <f t="shared" si="7"/>
        <v>1254362.2371424269</v>
      </c>
      <c r="F91" s="1408"/>
      <c r="G91" s="1409"/>
      <c r="H91" s="1408"/>
      <c r="I91" s="1409"/>
      <c r="J91" s="1409"/>
      <c r="K91" s="1409">
        <f t="shared" ref="K91:K93" si="8">+G91+I91+J91</f>
        <v>0</v>
      </c>
      <c r="L91"/>
      <c r="M91" s="73"/>
      <c r="N91" s="21"/>
      <c r="O91"/>
    </row>
    <row r="92" spans="1:15" ht="14.25">
      <c r="A92" s="76">
        <f t="shared" si="6"/>
        <v>57</v>
      </c>
      <c r="B92" s="844" t="s">
        <v>1156</v>
      </c>
      <c r="C92" s="842" t="s">
        <v>1157</v>
      </c>
      <c r="D92" s="1317">
        <v>11340709.171311302</v>
      </c>
      <c r="E92" s="101">
        <f t="shared" si="7"/>
        <v>11340709.171311302</v>
      </c>
      <c r="F92" s="1408"/>
      <c r="G92" s="1409"/>
      <c r="H92" s="1408"/>
      <c r="I92" s="1409"/>
      <c r="J92" s="1409"/>
      <c r="K92" s="1409">
        <f t="shared" si="8"/>
        <v>0</v>
      </c>
      <c r="L92"/>
      <c r="M92" s="73"/>
      <c r="N92" s="21"/>
      <c r="O92"/>
    </row>
    <row r="93" spans="1:15" ht="14.25">
      <c r="A93" s="76">
        <f t="shared" si="6"/>
        <v>58</v>
      </c>
      <c r="B93" s="844" t="s">
        <v>1158</v>
      </c>
      <c r="C93" s="842" t="s">
        <v>1159</v>
      </c>
      <c r="D93" s="1317">
        <v>1314982.9356596263</v>
      </c>
      <c r="E93" s="101">
        <f t="shared" si="7"/>
        <v>1314982.9356596263</v>
      </c>
      <c r="F93" s="1408"/>
      <c r="G93" s="1409"/>
      <c r="H93" s="1408"/>
      <c r="I93" s="1409"/>
      <c r="J93" s="1409"/>
      <c r="K93" s="1409">
        <f t="shared" si="8"/>
        <v>0</v>
      </c>
      <c r="L93"/>
      <c r="M93" s="73"/>
      <c r="N93" s="21"/>
      <c r="O93"/>
    </row>
    <row r="94" spans="1:15" ht="14.25">
      <c r="A94" s="76">
        <f t="shared" si="6"/>
        <v>59</v>
      </c>
      <c r="B94" s="844"/>
      <c r="C94" s="842"/>
      <c r="D94" s="843"/>
      <c r="E94" s="1409"/>
      <c r="F94" s="1408"/>
      <c r="G94" s="107"/>
      <c r="H94" s="1408"/>
      <c r="I94" s="107"/>
      <c r="J94" s="107"/>
      <c r="K94" s="1409"/>
      <c r="L94" s="1408"/>
      <c r="M94" s="73"/>
      <c r="N94" s="21"/>
      <c r="O94"/>
    </row>
    <row r="95" spans="1:15" ht="13.5" thickBot="1">
      <c r="A95" s="76">
        <f t="shared" si="6"/>
        <v>60</v>
      </c>
      <c r="B95" s="29"/>
      <c r="C95" s="29"/>
      <c r="D95" s="143"/>
      <c r="E95" s="101"/>
      <c r="F95" s="70"/>
      <c r="G95" s="107"/>
      <c r="I95" s="107"/>
      <c r="J95" s="107"/>
      <c r="K95" s="107"/>
      <c r="L95"/>
      <c r="M95" s="73"/>
      <c r="N95" s="21"/>
      <c r="O95"/>
    </row>
    <row r="96" spans="1:15" ht="14.25">
      <c r="A96" s="76">
        <f t="shared" si="6"/>
        <v>61</v>
      </c>
      <c r="B96" s="146"/>
      <c r="C96" s="35" t="s">
        <v>384</v>
      </c>
      <c r="D96" s="845">
        <f>IF(SUM(D71:D95)=0,"",SUM(D71:D95))</f>
        <v>31062930.405146547</v>
      </c>
      <c r="E96" s="240">
        <f>IF(SUM(E71:E95)=0,"",SUM(E71:E95))</f>
        <v>-191349161.06324476</v>
      </c>
      <c r="F96" s="70"/>
      <c r="G96" s="151" t="str">
        <f>IF(SUM(G71:G95)=0,"",SUM(G71:G95))</f>
        <v/>
      </c>
      <c r="I96" s="151">
        <f>IF(SUM(I71:I95)=0,"",SUM(I71:I95))</f>
        <v>8290653.0639596377</v>
      </c>
      <c r="J96" s="151">
        <f>IF(SUM(J71:J95)=0,"",SUM(J71:J95))</f>
        <v>214121438.40443161</v>
      </c>
      <c r="K96" s="151">
        <f>IF(SUM(K71:K95)=0,"",SUM(K71:K95))</f>
        <v>222412091.46839124</v>
      </c>
      <c r="L96"/>
      <c r="M96" s="73"/>
      <c r="N96" s="21"/>
      <c r="O96"/>
    </row>
    <row r="97" spans="1:15">
      <c r="A97" s="76"/>
      <c r="B97" s="76"/>
      <c r="C97"/>
      <c r="D97"/>
      <c r="E97"/>
      <c r="F97"/>
      <c r="G97"/>
      <c r="H97"/>
      <c r="I97"/>
      <c r="J97"/>
      <c r="K97"/>
      <c r="L97"/>
      <c r="M97" s="21"/>
      <c r="N97" s="21"/>
      <c r="O97"/>
    </row>
    <row r="98" spans="1:15" ht="18.75" customHeight="1">
      <c r="A98" s="76" t="s">
        <v>622</v>
      </c>
      <c r="B98" s="1578" t="s">
        <v>812</v>
      </c>
      <c r="C98" s="1578"/>
      <c r="D98" s="1578"/>
      <c r="E98" s="1578"/>
      <c r="F98" s="1578"/>
      <c r="G98" s="1578"/>
      <c r="H98" s="1578"/>
      <c r="I98" s="1578"/>
      <c r="J98" s="1578"/>
      <c r="K98" s="1578"/>
      <c r="L98" s="1578"/>
      <c r="M98" s="21"/>
      <c r="N98" s="21"/>
      <c r="O98"/>
    </row>
    <row r="99" spans="1:15" ht="18.75" customHeight="1">
      <c r="A99" s="5"/>
      <c r="B99" s="1578"/>
      <c r="C99" s="1578"/>
      <c r="D99" s="1578"/>
      <c r="E99" s="1578"/>
      <c r="F99" s="1578"/>
      <c r="G99" s="1578"/>
      <c r="H99" s="1578"/>
      <c r="I99" s="1578"/>
      <c r="J99" s="1578"/>
      <c r="K99" s="1578"/>
      <c r="L99" s="1578"/>
      <c r="M99" s="21"/>
      <c r="N99" s="21"/>
      <c r="O99"/>
    </row>
    <row r="100" spans="1:15" ht="18">
      <c r="E100" s="887"/>
      <c r="F100" s="887"/>
      <c r="G100" s="887"/>
      <c r="H100" s="887"/>
      <c r="I100" s="887"/>
      <c r="J100" s="887"/>
      <c r="K100" s="887"/>
      <c r="L100" s="83"/>
      <c r="M100" s="73"/>
      <c r="N100" s="73"/>
    </row>
    <row r="101" spans="1:15" ht="12.75" customHeight="1">
      <c r="E101" s="8"/>
      <c r="F101" s="70"/>
      <c r="G101" s="8"/>
      <c r="H101" s="73"/>
      <c r="I101" s="73"/>
    </row>
    <row r="102" spans="1:15">
      <c r="E102" s="8"/>
      <c r="G102" s="8"/>
      <c r="H102" s="21"/>
      <c r="I102" s="21"/>
      <c r="J102"/>
    </row>
    <row r="103" spans="1:15">
      <c r="E103" s="13"/>
      <c r="G103" s="13"/>
      <c r="H103" s="21"/>
      <c r="I103" s="21"/>
      <c r="J103"/>
    </row>
    <row r="104" spans="1:15">
      <c r="E104"/>
      <c r="F104"/>
      <c r="G104"/>
      <c r="H104"/>
      <c r="I104"/>
      <c r="J104"/>
      <c r="K104"/>
      <c r="L104"/>
      <c r="M104" s="21"/>
      <c r="N104" s="21"/>
      <c r="O104"/>
    </row>
    <row r="105" spans="1:15">
      <c r="E105"/>
      <c r="F105"/>
      <c r="G105"/>
      <c r="H105"/>
      <c r="I105"/>
      <c r="J105"/>
      <c r="K105"/>
      <c r="L105"/>
      <c r="M105" s="21"/>
      <c r="N105" s="21"/>
      <c r="O105"/>
    </row>
    <row r="106" spans="1:15">
      <c r="E106"/>
      <c r="F106"/>
      <c r="G106"/>
      <c r="H106"/>
      <c r="I106"/>
      <c r="J106"/>
      <c r="K106"/>
      <c r="L106"/>
      <c r="M106" s="21"/>
      <c r="N106" s="21"/>
      <c r="O106"/>
    </row>
    <row r="107" spans="1:15">
      <c r="A107"/>
      <c r="B107"/>
      <c r="C107"/>
      <c r="D107"/>
      <c r="E107"/>
      <c r="F107"/>
      <c r="G107"/>
      <c r="H107"/>
      <c r="I107"/>
      <c r="J107"/>
      <c r="K107"/>
      <c r="L107"/>
      <c r="M107" s="21"/>
      <c r="N107" s="21"/>
      <c r="O107"/>
    </row>
    <row r="108" spans="1:15">
      <c r="A108"/>
      <c r="B108"/>
      <c r="C108"/>
      <c r="D108"/>
      <c r="E108"/>
      <c r="F108"/>
      <c r="G108"/>
      <c r="H108"/>
      <c r="I108"/>
      <c r="J108"/>
      <c r="K108"/>
      <c r="L108"/>
      <c r="M108" s="21"/>
      <c r="N108" s="21"/>
      <c r="O108"/>
    </row>
    <row r="109" spans="1:15">
      <c r="A109"/>
      <c r="B109"/>
      <c r="C109"/>
      <c r="D109"/>
      <c r="E109"/>
      <c r="F109"/>
      <c r="G109"/>
      <c r="H109"/>
      <c r="I109"/>
      <c r="J109"/>
      <c r="K109"/>
      <c r="L109"/>
      <c r="M109" s="21"/>
      <c r="N109" s="21"/>
      <c r="O109"/>
    </row>
    <row r="110" spans="1:15">
      <c r="A110"/>
      <c r="B110"/>
      <c r="C110"/>
      <c r="D110"/>
      <c r="E110"/>
      <c r="F110"/>
      <c r="G110"/>
      <c r="H110"/>
      <c r="I110"/>
      <c r="J110"/>
      <c r="K110"/>
      <c r="L110"/>
      <c r="M110" s="21"/>
      <c r="N110" s="21"/>
      <c r="O110"/>
    </row>
    <row r="111" spans="1:15">
      <c r="A111"/>
      <c r="B111"/>
      <c r="C111"/>
      <c r="D111"/>
      <c r="E111"/>
      <c r="F111"/>
      <c r="G111"/>
      <c r="H111"/>
      <c r="I111"/>
      <c r="J111"/>
      <c r="K111"/>
      <c r="L111"/>
      <c r="M111" s="21"/>
      <c r="N111" s="21"/>
      <c r="O111"/>
    </row>
    <row r="112" spans="1:15">
      <c r="A112"/>
      <c r="B112"/>
      <c r="C112"/>
      <c r="D112"/>
      <c r="E112"/>
      <c r="F112"/>
      <c r="G112"/>
      <c r="H112"/>
      <c r="I112"/>
      <c r="J112"/>
      <c r="K112"/>
      <c r="L112"/>
      <c r="M112" s="21"/>
      <c r="N112" s="21"/>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row r="127" spans="1:15">
      <c r="A127"/>
      <c r="B127"/>
      <c r="C127"/>
      <c r="D127"/>
      <c r="E127"/>
      <c r="F127"/>
      <c r="G127"/>
      <c r="H127"/>
      <c r="I127"/>
      <c r="J127"/>
      <c r="K127"/>
      <c r="L127"/>
      <c r="M127"/>
      <c r="N127"/>
      <c r="O127"/>
    </row>
    <row r="128" spans="1:15">
      <c r="A128"/>
      <c r="B128"/>
      <c r="C128"/>
      <c r="D128"/>
      <c r="E128"/>
      <c r="F128"/>
      <c r="G128"/>
      <c r="H128"/>
      <c r="I128"/>
      <c r="J128"/>
      <c r="K128"/>
      <c r="L128"/>
      <c r="M128"/>
      <c r="N128"/>
      <c r="O128"/>
    </row>
    <row r="129" spans="1:15">
      <c r="A129"/>
      <c r="B129"/>
      <c r="C129"/>
      <c r="D129"/>
      <c r="E129"/>
      <c r="F129"/>
      <c r="G129"/>
      <c r="H129"/>
      <c r="I129"/>
      <c r="J129"/>
      <c r="K129"/>
      <c r="L129"/>
      <c r="M129"/>
      <c r="N129"/>
      <c r="O129"/>
    </row>
    <row r="130" spans="1:15">
      <c r="A130"/>
      <c r="B130"/>
      <c r="C130"/>
      <c r="D130"/>
      <c r="E130"/>
      <c r="F130"/>
      <c r="G130"/>
      <c r="H130"/>
      <c r="I130"/>
      <c r="J130"/>
      <c r="K130"/>
      <c r="L130"/>
      <c r="M130"/>
      <c r="N130"/>
      <c r="O130"/>
    </row>
    <row r="131" spans="1:15">
      <c r="A131"/>
      <c r="B131"/>
      <c r="C131"/>
      <c r="D131"/>
      <c r="E131"/>
      <c r="F131"/>
      <c r="G131"/>
      <c r="H131"/>
      <c r="I131"/>
      <c r="J131"/>
      <c r="K131"/>
      <c r="L131"/>
      <c r="M131"/>
      <c r="N131"/>
      <c r="O131"/>
    </row>
    <row r="132" spans="1:15">
      <c r="A132"/>
      <c r="B132"/>
      <c r="C132"/>
      <c r="D132"/>
      <c r="E132"/>
      <c r="F132"/>
      <c r="G132"/>
      <c r="H132"/>
      <c r="I132"/>
      <c r="J132"/>
      <c r="K132"/>
      <c r="L132"/>
      <c r="M132"/>
      <c r="N132"/>
      <c r="O132"/>
    </row>
    <row r="133" spans="1:15">
      <c r="A133"/>
      <c r="B133"/>
      <c r="C133"/>
      <c r="D133"/>
      <c r="E133"/>
      <c r="F133"/>
      <c r="G133"/>
      <c r="H133"/>
      <c r="I133"/>
      <c r="J133"/>
      <c r="K133"/>
      <c r="L133"/>
      <c r="M133"/>
      <c r="N133"/>
      <c r="O133"/>
    </row>
    <row r="134" spans="1:15">
      <c r="A134"/>
      <c r="B134"/>
      <c r="C134"/>
      <c r="D134"/>
      <c r="E134"/>
      <c r="F134"/>
      <c r="G134"/>
      <c r="H134"/>
      <c r="I134"/>
      <c r="J134"/>
      <c r="K134"/>
      <c r="L134"/>
      <c r="M134"/>
      <c r="N134"/>
      <c r="O134"/>
    </row>
    <row r="135" spans="1:15">
      <c r="A135"/>
      <c r="B135"/>
      <c r="C135"/>
      <c r="D135"/>
      <c r="E135"/>
      <c r="F135"/>
      <c r="G135"/>
      <c r="H135"/>
      <c r="I135"/>
      <c r="J135"/>
      <c r="K135"/>
      <c r="L135"/>
      <c r="M135"/>
      <c r="N135"/>
      <c r="O135"/>
    </row>
    <row r="136" spans="1:15">
      <c r="A136"/>
      <c r="B136"/>
      <c r="C136"/>
      <c r="D136"/>
      <c r="E136"/>
      <c r="F136"/>
      <c r="G136"/>
      <c r="H136"/>
      <c r="I136"/>
      <c r="J136"/>
      <c r="K136"/>
      <c r="L136"/>
      <c r="M136"/>
      <c r="N136"/>
      <c r="O136"/>
    </row>
    <row r="137" spans="1:15">
      <c r="A137"/>
      <c r="B137"/>
      <c r="C137"/>
      <c r="D137"/>
      <c r="E137"/>
      <c r="F137"/>
      <c r="G137"/>
      <c r="H137"/>
      <c r="I137"/>
      <c r="J137"/>
      <c r="K137"/>
      <c r="L137"/>
      <c r="M137"/>
      <c r="N137"/>
      <c r="O137"/>
    </row>
    <row r="138" spans="1:15">
      <c r="A138"/>
      <c r="B138"/>
      <c r="C138"/>
      <c r="D138"/>
      <c r="E138"/>
      <c r="F138"/>
      <c r="G138"/>
      <c r="H138"/>
      <c r="I138"/>
      <c r="J138"/>
      <c r="K138"/>
      <c r="L138"/>
      <c r="M138"/>
      <c r="N138"/>
      <c r="O138"/>
    </row>
    <row r="139" spans="1:15">
      <c r="A139"/>
      <c r="B139"/>
      <c r="C139"/>
      <c r="D139"/>
      <c r="E139"/>
      <c r="F139"/>
      <c r="G139"/>
      <c r="H139"/>
      <c r="I139"/>
      <c r="J139"/>
      <c r="K139"/>
      <c r="L139"/>
      <c r="M139"/>
      <c r="N139"/>
      <c r="O139"/>
    </row>
    <row r="140" spans="1:15">
      <c r="A140"/>
      <c r="B140"/>
      <c r="C140"/>
      <c r="D140"/>
      <c r="E140"/>
      <c r="F140"/>
      <c r="G140"/>
      <c r="H140"/>
      <c r="I140"/>
      <c r="J140"/>
      <c r="K140"/>
      <c r="L140"/>
      <c r="M140"/>
      <c r="N140"/>
      <c r="O140"/>
    </row>
    <row r="141" spans="1:15">
      <c r="A141"/>
      <c r="B141"/>
      <c r="C141"/>
      <c r="D141"/>
      <c r="E141"/>
      <c r="F141"/>
      <c r="G141"/>
      <c r="H141"/>
      <c r="I141"/>
      <c r="J141"/>
      <c r="K141"/>
      <c r="L141"/>
      <c r="M141"/>
      <c r="N141"/>
      <c r="O141"/>
    </row>
    <row r="142" spans="1:15">
      <c r="A142"/>
      <c r="B142"/>
      <c r="C142"/>
      <c r="D142"/>
      <c r="E142"/>
      <c r="F142"/>
      <c r="G142"/>
      <c r="H142"/>
      <c r="I142"/>
      <c r="J142"/>
      <c r="K142"/>
      <c r="L142"/>
      <c r="M142"/>
      <c r="N142"/>
      <c r="O142"/>
    </row>
  </sheetData>
  <mergeCells count="12">
    <mergeCell ref="B98:L99"/>
    <mergeCell ref="B10:K10"/>
    <mergeCell ref="A3:L3"/>
    <mergeCell ref="A4:L4"/>
    <mergeCell ref="A5:L5"/>
    <mergeCell ref="A6:L6"/>
    <mergeCell ref="B66:J66"/>
    <mergeCell ref="B24:K24"/>
    <mergeCell ref="E12:E13"/>
    <mergeCell ref="I12:I13"/>
    <mergeCell ref="B34:J34"/>
    <mergeCell ref="G12:G13"/>
  </mergeCells>
  <phoneticPr fontId="3" type="noConversion"/>
  <pageMargins left="1.08" right="0.75" top="1" bottom="0.41" header="0.86" footer="0.27"/>
  <pageSetup scale="39"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MS8xOC8yMDIzIDY6MTk6NTk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CC135DAA-9C43-49A7-8E9A-09E0052C1B3E}">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97B9DCC4-16A1-4464-8151-0016FCA4BED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31</vt:i4>
      </vt:variant>
      <vt:variant>
        <vt:lpstr>Named Ranges</vt:lpstr>
      </vt:variant>
      <vt:variant>
        <vt:i4>6</vt:i4>
      </vt:variant>
    </vt:vector>
  </HeadingPairs>
  <TitlesOfParts>
    <vt:vector size="37" baseType="lpstr">
      <vt:lpstr>TCOS</vt:lpstr>
      <vt:lpstr>WS A - RB Support</vt:lpstr>
      <vt:lpstr>WS B ADIT &amp; ITC</vt:lpstr>
      <vt:lpstr>WS B-1 - Actual Stmt. AF</vt:lpstr>
      <vt:lpstr>WS B-2 - Actual Stmt. AG</vt:lpstr>
      <vt:lpstr>WS B-3</vt:lpstr>
      <vt:lpstr>WS B-3-A</vt:lpstr>
      <vt:lpstr>WS B-3-B</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WSQ NSPL</vt:lpstr>
      <vt:lpstr>WSQ Schedule 12</vt:lpstr>
      <vt:lpstr>WSQ Schedule 1A</vt:lpstr>
      <vt:lpstr>TCOS!Print_Area</vt:lpstr>
      <vt:lpstr>'WS B-3-A'!Print_Area</vt:lpstr>
      <vt:lpstr>'WS G  State Tax Rate'!Print_Area</vt:lpstr>
      <vt:lpstr>'WS O - PBOP'!Print_Area</vt:lpstr>
      <vt:lpstr>'WSQ NSPL'!Print_Area</vt:lpstr>
      <vt:lpstr>'WSQ Schedule 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2024-11-05T12:46:21Z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3bfc655a-ccac-469a-84cf-1e1ba63169ff</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ClsUserRVM">
    <vt:lpwstr>[]</vt:lpwstr>
  </property>
  <property fmtid="{D5CDD505-2E9C-101B-9397-08002B2CF9AE}" pid="12" name="bjLabelHistoryID">
    <vt:lpwstr>{CC135DAA-9C43-49A7-8E9A-09E0052C1B3E}</vt:lpwstr>
  </property>
</Properties>
</file>